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J:\Personal\Geology\2016\Fall\"/>
    </mc:Choice>
  </mc:AlternateContent>
  <bookViews>
    <workbookView xWindow="120" yWindow="315" windowWidth="10005" windowHeight="9825" tabRatio="779"/>
  </bookViews>
  <sheets>
    <sheet name="2015S 113-Monday 230" sheetId="11" r:id="rId1"/>
    <sheet name="2015S 113-Wed" sheetId="3" r:id="rId2"/>
    <sheet name="Points" sheetId="13" r:id="rId3"/>
    <sheet name="Sheet1" sheetId="5" r:id="rId4"/>
    <sheet name="Sheet2" sheetId="12" r:id="rId5"/>
    <sheet name="Sheet3" sheetId="16" r:id="rId6"/>
  </sheets>
  <definedNames>
    <definedName name="_xlnm._FilterDatabase" localSheetId="0" hidden="1">'2015S 113-Monday 230'!$A$4:$AI$21</definedName>
    <definedName name="_xlnm._FilterDatabase" localSheetId="1" hidden="1">'2015S 113-Wed'!$A$4:$AJ$18</definedName>
    <definedName name="_xlnm.Print_Area" localSheetId="0">'2015S 113-Monday 230'!$A$1:$U$21</definedName>
    <definedName name="_xlnm.Print_Area" localSheetId="1">'2015S 113-Wed'!$A$1:$U$18</definedName>
  </definedNames>
  <calcPr calcId="162913"/>
</workbook>
</file>

<file path=xl/calcChain.xml><?xml version="1.0" encoding="utf-8"?>
<calcChain xmlns="http://schemas.openxmlformats.org/spreadsheetml/2006/main">
  <c r="H19" i="11" l="1"/>
  <c r="H18" i="11"/>
  <c r="H17" i="11"/>
  <c r="H16" i="11"/>
  <c r="H15" i="11"/>
  <c r="H14" i="11"/>
  <c r="H13" i="11"/>
  <c r="H12" i="11"/>
  <c r="H11" i="11"/>
  <c r="H10" i="11"/>
  <c r="H9" i="11"/>
  <c r="H8" i="11"/>
  <c r="H7" i="11"/>
  <c r="H6" i="11"/>
  <c r="H5" i="11"/>
  <c r="J8" i="11"/>
  <c r="J19" i="11"/>
  <c r="J18" i="11"/>
  <c r="J17" i="11"/>
  <c r="J16" i="11"/>
  <c r="J15" i="11"/>
  <c r="J14" i="11"/>
  <c r="J13" i="11"/>
  <c r="J12" i="11"/>
  <c r="J11" i="11"/>
  <c r="J10" i="11"/>
  <c r="J9" i="11"/>
  <c r="J7" i="11"/>
  <c r="J6" i="11"/>
  <c r="J5" i="11"/>
  <c r="K11" i="3"/>
  <c r="I19" i="11"/>
  <c r="I18" i="11"/>
  <c r="I17" i="11"/>
  <c r="I16" i="11"/>
  <c r="I14" i="11"/>
  <c r="I13" i="11"/>
  <c r="I12" i="11"/>
  <c r="I11" i="11"/>
  <c r="I9" i="11"/>
  <c r="I7" i="11"/>
  <c r="I6" i="11"/>
  <c r="I5" i="11"/>
  <c r="J11" i="3"/>
  <c r="I15" i="11"/>
  <c r="J10" i="3" l="1"/>
  <c r="K16" i="3"/>
  <c r="K15" i="3"/>
  <c r="K14" i="3"/>
  <c r="K13" i="3"/>
  <c r="K12" i="3"/>
  <c r="K10" i="3"/>
  <c r="K9" i="3"/>
  <c r="K8" i="3"/>
  <c r="K7" i="3"/>
  <c r="K6" i="3"/>
  <c r="K5" i="3"/>
  <c r="J15" i="3" l="1"/>
  <c r="J13" i="3"/>
  <c r="J12" i="3"/>
  <c r="J9" i="3"/>
  <c r="J8" i="3"/>
  <c r="J7" i="3"/>
  <c r="J6" i="3"/>
  <c r="J5" i="3"/>
  <c r="I15" i="3"/>
  <c r="I16" i="3"/>
  <c r="I14" i="3"/>
  <c r="I13" i="3"/>
  <c r="I12" i="3"/>
  <c r="I10" i="3"/>
  <c r="I9" i="3"/>
  <c r="I8" i="3"/>
  <c r="I7" i="3"/>
  <c r="I6" i="3"/>
  <c r="I5" i="3"/>
  <c r="G22" i="3"/>
  <c r="H16" i="3"/>
  <c r="H15" i="3"/>
  <c r="H14" i="3"/>
  <c r="H13" i="3"/>
  <c r="H12" i="3"/>
  <c r="H11" i="3"/>
  <c r="H10" i="3"/>
  <c r="H9" i="3"/>
  <c r="H8" i="3"/>
  <c r="H5" i="3"/>
  <c r="H7" i="3"/>
  <c r="I23" i="3" l="1"/>
  <c r="I20" i="3"/>
  <c r="I22" i="3"/>
  <c r="I25" i="3" s="1"/>
  <c r="I21" i="3"/>
  <c r="E16" i="11"/>
  <c r="I24" i="3" l="1"/>
  <c r="AA24" i="3"/>
  <c r="AA25" i="3"/>
  <c r="AA26" i="3"/>
  <c r="AA23" i="3"/>
  <c r="U15" i="3" l="1"/>
  <c r="U14" i="3"/>
  <c r="U13" i="3"/>
  <c r="U11" i="3"/>
  <c r="U10" i="3"/>
  <c r="U9" i="3"/>
  <c r="U8" i="3"/>
  <c r="U7" i="3"/>
  <c r="U5" i="3"/>
  <c r="F5" i="3" l="1"/>
  <c r="B8" i="3"/>
  <c r="E17" i="11" l="1"/>
  <c r="E11" i="11"/>
  <c r="E8" i="11"/>
  <c r="E10" i="11"/>
  <c r="E19" i="11"/>
  <c r="E12" i="11"/>
  <c r="E7" i="11"/>
  <c r="E6" i="11"/>
  <c r="E18" i="11"/>
  <c r="E13" i="11"/>
  <c r="E15" i="11"/>
  <c r="E5" i="11"/>
  <c r="E14" i="11"/>
  <c r="S19" i="11"/>
  <c r="S18" i="11"/>
  <c r="S17" i="11"/>
  <c r="S16" i="11"/>
  <c r="S15" i="11"/>
  <c r="S14" i="11"/>
  <c r="S13" i="11"/>
  <c r="S12" i="11"/>
  <c r="S11" i="11"/>
  <c r="S10" i="11"/>
  <c r="S9" i="11"/>
  <c r="S8" i="11"/>
  <c r="S7" i="11"/>
  <c r="S6" i="11"/>
  <c r="S5" i="11"/>
  <c r="E16" i="3" l="1"/>
  <c r="E11" i="3"/>
  <c r="E5" i="3"/>
  <c r="E15" i="3"/>
  <c r="E14" i="3"/>
  <c r="E7" i="3"/>
  <c r="E10" i="3"/>
  <c r="E8" i="3"/>
  <c r="E6" i="3"/>
  <c r="E12" i="3"/>
  <c r="E13" i="3"/>
  <c r="E9" i="3"/>
  <c r="S16" i="3" l="1"/>
  <c r="S15" i="3"/>
  <c r="S14" i="3"/>
  <c r="S13" i="3"/>
  <c r="S12" i="3"/>
  <c r="S11" i="3"/>
  <c r="S10" i="3"/>
  <c r="S9" i="3"/>
  <c r="S8" i="3"/>
  <c r="S7" i="3"/>
  <c r="S6" i="3"/>
  <c r="S5" i="3"/>
  <c r="R19" i="11" l="1"/>
  <c r="R18" i="11"/>
  <c r="R17" i="11"/>
  <c r="R16" i="11"/>
  <c r="R15" i="11"/>
  <c r="R14" i="11"/>
  <c r="R13" i="11"/>
  <c r="R12" i="11"/>
  <c r="R11" i="11"/>
  <c r="R10" i="11"/>
  <c r="R9" i="11"/>
  <c r="R8" i="11"/>
  <c r="R7" i="11"/>
  <c r="R6" i="11"/>
  <c r="R5" i="11"/>
  <c r="B10" i="11" l="1"/>
  <c r="R6" i="3" l="1"/>
  <c r="R7" i="3"/>
  <c r="R8" i="3"/>
  <c r="R9" i="3"/>
  <c r="R10" i="3"/>
  <c r="R11" i="3"/>
  <c r="R12" i="3"/>
  <c r="R13" i="3"/>
  <c r="R14" i="3"/>
  <c r="R15" i="3"/>
  <c r="R16" i="3"/>
  <c r="R5" i="3"/>
  <c r="B19" i="11" l="1"/>
  <c r="B18" i="11"/>
  <c r="B16" i="11"/>
  <c r="B15" i="11"/>
  <c r="B14" i="11"/>
  <c r="B13" i="11"/>
  <c r="B12" i="11"/>
  <c r="B11" i="11"/>
  <c r="B9" i="11"/>
  <c r="B8" i="11"/>
  <c r="B7" i="11"/>
  <c r="B6" i="11"/>
  <c r="B5" i="11"/>
  <c r="B6" i="3"/>
  <c r="B7" i="3"/>
  <c r="B9" i="3"/>
  <c r="B10" i="3"/>
  <c r="B11" i="3"/>
  <c r="B12" i="3"/>
  <c r="B13" i="3"/>
  <c r="B14" i="3"/>
  <c r="B39" i="3"/>
  <c r="B15" i="3"/>
  <c r="B16" i="3"/>
  <c r="B5" i="3"/>
  <c r="C4" i="11" l="1"/>
  <c r="V17" i="11"/>
  <c r="V16" i="11"/>
  <c r="V15" i="11"/>
  <c r="V14" i="11"/>
  <c r="V13" i="11"/>
  <c r="V12" i="11"/>
  <c r="V11" i="11"/>
  <c r="V10" i="11"/>
  <c r="V9" i="11"/>
  <c r="V8" i="11"/>
  <c r="AK7" i="11" l="1"/>
  <c r="M23" i="3" l="1"/>
  <c r="M20" i="3"/>
  <c r="M22" i="3"/>
  <c r="M21" i="3"/>
  <c r="M25" i="3" l="1"/>
  <c r="M24" i="3"/>
  <c r="J22" i="3" l="1"/>
  <c r="J23" i="3"/>
  <c r="J20" i="3"/>
  <c r="J21" i="3"/>
  <c r="J25" i="3" l="1"/>
  <c r="J24" i="3"/>
  <c r="T32" i="11" l="1"/>
  <c r="V8" i="3" l="1"/>
  <c r="U27" i="11" l="1"/>
  <c r="T27" i="11"/>
  <c r="S27" i="11"/>
  <c r="R27" i="11"/>
  <c r="U26" i="11"/>
  <c r="T26" i="11"/>
  <c r="S26" i="11"/>
  <c r="R26" i="11"/>
  <c r="U25" i="11"/>
  <c r="T25" i="11"/>
  <c r="S25" i="11"/>
  <c r="R25" i="11"/>
  <c r="U24" i="11"/>
  <c r="T24" i="11"/>
  <c r="S24" i="11"/>
  <c r="R24" i="11"/>
  <c r="N27" i="11"/>
  <c r="M27" i="11"/>
  <c r="L27" i="11"/>
  <c r="K27" i="11"/>
  <c r="J27" i="11"/>
  <c r="I27" i="11"/>
  <c r="H27" i="11"/>
  <c r="G27" i="11"/>
  <c r="F27" i="11"/>
  <c r="N26" i="11"/>
  <c r="M26" i="11"/>
  <c r="L26" i="11"/>
  <c r="K26" i="11"/>
  <c r="J26" i="11"/>
  <c r="I26" i="11"/>
  <c r="H26" i="11"/>
  <c r="G26" i="11"/>
  <c r="F26" i="11"/>
  <c r="N25" i="11"/>
  <c r="M25" i="11"/>
  <c r="L25" i="11"/>
  <c r="K25" i="11"/>
  <c r="J25" i="11"/>
  <c r="I25" i="11"/>
  <c r="H25" i="11"/>
  <c r="G25" i="11"/>
  <c r="F25" i="11"/>
  <c r="N24" i="11"/>
  <c r="M24" i="11"/>
  <c r="L24" i="11"/>
  <c r="K24" i="11"/>
  <c r="J24" i="11"/>
  <c r="I24" i="11"/>
  <c r="H24" i="11"/>
  <c r="G24" i="11"/>
  <c r="F24" i="11"/>
  <c r="D27" i="11"/>
  <c r="D26" i="11"/>
  <c r="D25" i="11"/>
  <c r="D24" i="11"/>
  <c r="C27" i="11"/>
  <c r="C26" i="11"/>
  <c r="C25" i="11"/>
  <c r="C24" i="11"/>
  <c r="U29" i="11" l="1"/>
  <c r="T29" i="11"/>
  <c r="R29" i="11"/>
  <c r="S29" i="11"/>
  <c r="G28" i="11"/>
  <c r="I29" i="11"/>
  <c r="K29" i="11"/>
  <c r="M29" i="11"/>
  <c r="H28" i="11"/>
  <c r="L28" i="11"/>
  <c r="E26" i="11"/>
  <c r="C28" i="11"/>
  <c r="E25" i="11"/>
  <c r="E27" i="11"/>
  <c r="K28" i="11"/>
  <c r="G29" i="11"/>
  <c r="C29" i="11"/>
  <c r="D29" i="11"/>
  <c r="E24" i="11"/>
  <c r="F28" i="11"/>
  <c r="H29" i="11"/>
  <c r="J28" i="11"/>
  <c r="L29" i="11"/>
  <c r="N28" i="11"/>
  <c r="F29" i="11"/>
  <c r="J29" i="11"/>
  <c r="N29" i="11"/>
  <c r="R28" i="11"/>
  <c r="S28" i="11"/>
  <c r="T28" i="11"/>
  <c r="U28" i="11"/>
  <c r="I28" i="11"/>
  <c r="M28" i="11"/>
  <c r="D28" i="11"/>
  <c r="V3" i="3"/>
  <c r="E28" i="11" l="1"/>
  <c r="E29" i="11"/>
  <c r="V3" i="11"/>
  <c r="Z27" i="11"/>
  <c r="Z26" i="11"/>
  <c r="Z25" i="11"/>
  <c r="Z24" i="11"/>
  <c r="W9" i="11" l="1"/>
  <c r="W13" i="11"/>
  <c r="W17" i="11"/>
  <c r="W10" i="11"/>
  <c r="W14" i="11"/>
  <c r="W11" i="11"/>
  <c r="W15" i="11"/>
  <c r="W8" i="11"/>
  <c r="W12" i="11"/>
  <c r="W16" i="11"/>
  <c r="B27" i="11"/>
  <c r="B25" i="11"/>
  <c r="B26" i="11"/>
  <c r="B24" i="11"/>
  <c r="Z28" i="11"/>
  <c r="Z29" i="11"/>
  <c r="B28" i="11" l="1"/>
  <c r="B29" i="11"/>
  <c r="B20" i="12"/>
  <c r="B21" i="12" s="1"/>
  <c r="V18" i="11" l="1"/>
  <c r="V11" i="3"/>
  <c r="V5" i="3"/>
  <c r="V19" i="11" l="1"/>
  <c r="V7" i="11"/>
  <c r="V6" i="11"/>
  <c r="D4" i="11"/>
  <c r="E4" i="11" s="1"/>
  <c r="F4" i="11" s="1"/>
  <c r="G4" i="11" s="1"/>
  <c r="V16" i="3"/>
  <c r="V15" i="3"/>
  <c r="V39" i="3"/>
  <c r="V14" i="3"/>
  <c r="V13" i="3"/>
  <c r="V12" i="3"/>
  <c r="V10" i="3"/>
  <c r="V9" i="3"/>
  <c r="V7" i="3"/>
  <c r="V6" i="3"/>
  <c r="H4" i="11" l="1"/>
  <c r="I4" i="11" s="1"/>
  <c r="J4" i="11" s="1"/>
  <c r="K4" i="11" s="1"/>
  <c r="L4" i="11" s="1"/>
  <c r="M4" i="11" s="1"/>
  <c r="N4" i="11" s="1"/>
  <c r="O4" i="11" s="1"/>
  <c r="S27" i="3"/>
  <c r="S28" i="3"/>
  <c r="M17" i="13" l="1"/>
  <c r="M18" i="13" s="1"/>
  <c r="N18" i="13" l="1"/>
  <c r="M19" i="13"/>
  <c r="M20" i="13" l="1"/>
  <c r="N19" i="13"/>
  <c r="M21" i="13" l="1"/>
  <c r="N20" i="13"/>
  <c r="M22" i="13" l="1"/>
  <c r="N21" i="13"/>
  <c r="T24" i="13"/>
  <c r="T23" i="13"/>
  <c r="T18" i="13"/>
  <c r="T17" i="13"/>
  <c r="T16" i="13"/>
  <c r="T15" i="13"/>
  <c r="T14" i="13"/>
  <c r="T13" i="13"/>
  <c r="T12" i="13"/>
  <c r="T11" i="13"/>
  <c r="T10" i="13"/>
  <c r="T9" i="13"/>
  <c r="T8" i="13"/>
  <c r="T7" i="13"/>
  <c r="T6" i="13"/>
  <c r="T5" i="13"/>
  <c r="T4" i="13"/>
  <c r="T3" i="13"/>
  <c r="M23" i="13" l="1"/>
  <c r="N22" i="13"/>
  <c r="P18" i="13"/>
  <c r="Q18" i="13" s="1"/>
  <c r="Q17" i="13"/>
  <c r="Q16" i="13"/>
  <c r="Q15" i="13"/>
  <c r="Q14" i="13"/>
  <c r="Q13" i="13"/>
  <c r="Q12" i="13"/>
  <c r="Q11" i="13"/>
  <c r="Q10" i="13"/>
  <c r="Q9" i="13"/>
  <c r="Q8" i="13"/>
  <c r="Q7" i="13"/>
  <c r="Q6" i="13"/>
  <c r="Q5" i="13"/>
  <c r="Q4" i="13"/>
  <c r="Q3" i="13"/>
  <c r="N17" i="13"/>
  <c r="N16" i="13"/>
  <c r="N15" i="13"/>
  <c r="N14" i="13"/>
  <c r="N13" i="13"/>
  <c r="N12" i="13"/>
  <c r="N11" i="13"/>
  <c r="N10" i="13"/>
  <c r="N9" i="13"/>
  <c r="N8" i="13"/>
  <c r="N7" i="13"/>
  <c r="N6" i="13"/>
  <c r="N5" i="13"/>
  <c r="N4" i="13"/>
  <c r="N3" i="13"/>
  <c r="M24" i="13" l="1"/>
  <c r="N23" i="13"/>
  <c r="T19" i="13"/>
  <c r="N24" i="13" l="1"/>
  <c r="M25" i="13"/>
  <c r="T20" i="13"/>
  <c r="Q19" i="13"/>
  <c r="A22" i="5"/>
  <c r="N25" i="13" l="1"/>
  <c r="M26" i="13"/>
  <c r="T21" i="13"/>
  <c r="T22" i="13"/>
  <c r="Q20" i="13"/>
  <c r="N26" i="13" l="1"/>
  <c r="M27" i="13"/>
  <c r="Q21" i="13"/>
  <c r="Q22" i="13"/>
  <c r="K24" i="13"/>
  <c r="K23" i="13"/>
  <c r="J18" i="13"/>
  <c r="K18" i="13" s="1"/>
  <c r="K17" i="13"/>
  <c r="K16" i="13"/>
  <c r="K15" i="13"/>
  <c r="K14" i="13"/>
  <c r="K13" i="13"/>
  <c r="K12" i="13"/>
  <c r="K11" i="13"/>
  <c r="K10" i="13"/>
  <c r="K9" i="13"/>
  <c r="K8" i="13"/>
  <c r="K7" i="13"/>
  <c r="K6" i="13"/>
  <c r="K5" i="13"/>
  <c r="K4" i="13"/>
  <c r="K3" i="13"/>
  <c r="H24" i="13"/>
  <c r="H23" i="13"/>
  <c r="G18" i="13"/>
  <c r="G19" i="13" s="1"/>
  <c r="A18" i="13"/>
  <c r="H17" i="13"/>
  <c r="E17" i="13"/>
  <c r="H16" i="13"/>
  <c r="E16" i="13"/>
  <c r="B16" i="13"/>
  <c r="H15" i="13"/>
  <c r="E15" i="13"/>
  <c r="B15" i="13"/>
  <c r="H14" i="13"/>
  <c r="E14" i="13"/>
  <c r="B14" i="13"/>
  <c r="H13" i="13"/>
  <c r="E13" i="13"/>
  <c r="B13" i="13"/>
  <c r="H12" i="13"/>
  <c r="E12" i="13"/>
  <c r="B12" i="13"/>
  <c r="H11" i="13"/>
  <c r="E11" i="13"/>
  <c r="B11" i="13"/>
  <c r="H10" i="13"/>
  <c r="E10" i="13"/>
  <c r="B10" i="13"/>
  <c r="H9" i="13"/>
  <c r="E9" i="13"/>
  <c r="B9" i="13"/>
  <c r="H8" i="13"/>
  <c r="E8" i="13"/>
  <c r="B8" i="13"/>
  <c r="H7" i="13"/>
  <c r="E7" i="13"/>
  <c r="B7" i="13"/>
  <c r="H6" i="13"/>
  <c r="E6" i="13"/>
  <c r="B6" i="13"/>
  <c r="H5" i="13"/>
  <c r="E5" i="13"/>
  <c r="B5" i="13"/>
  <c r="H4" i="13"/>
  <c r="E4" i="13"/>
  <c r="B4" i="13"/>
  <c r="H3" i="13"/>
  <c r="E3" i="13"/>
  <c r="B3" i="13"/>
  <c r="N27" i="13" l="1"/>
  <c r="M28" i="13"/>
  <c r="H18" i="13"/>
  <c r="J19" i="13"/>
  <c r="G20" i="13"/>
  <c r="H19" i="13"/>
  <c r="R23" i="3"/>
  <c r="R22" i="3"/>
  <c r="R21" i="3"/>
  <c r="R20" i="3"/>
  <c r="N28" i="13" l="1"/>
  <c r="M29" i="13"/>
  <c r="N29" i="13" s="1"/>
  <c r="N30" i="13"/>
  <c r="K19" i="13"/>
  <c r="J20" i="13"/>
  <c r="G21" i="13"/>
  <c r="H20" i="13"/>
  <c r="R25" i="3"/>
  <c r="R24" i="3"/>
  <c r="N31" i="13" l="1"/>
  <c r="K20" i="13"/>
  <c r="J21" i="13"/>
  <c r="H22" i="13"/>
  <c r="H21" i="13"/>
  <c r="N32" i="13" l="1"/>
  <c r="N33" i="13"/>
  <c r="K21" i="13"/>
  <c r="J22" i="13"/>
  <c r="K22" i="13" s="1"/>
  <c r="C9" i="12"/>
  <c r="D9" i="12" s="1"/>
  <c r="C8" i="12"/>
  <c r="D8" i="12" s="1"/>
  <c r="C6" i="12"/>
  <c r="C5" i="12"/>
  <c r="C3" i="12"/>
  <c r="C2" i="12"/>
  <c r="V5" i="11" l="1"/>
  <c r="Y11" i="11"/>
  <c r="V2" i="11"/>
  <c r="W18" i="11" l="1"/>
  <c r="Y18" i="11" s="1"/>
  <c r="Y17" i="11"/>
  <c r="W6" i="11"/>
  <c r="Y6" i="11" s="1"/>
  <c r="W7" i="11"/>
  <c r="Y7" i="11" s="1"/>
  <c r="Y10" i="11"/>
  <c r="Y8" i="11"/>
  <c r="Y9" i="11"/>
  <c r="Y14" i="11"/>
  <c r="Y12" i="11"/>
  <c r="Y13" i="11"/>
  <c r="Y15" i="11"/>
  <c r="Y16" i="11"/>
  <c r="W19" i="11"/>
  <c r="Y19" i="11" s="1"/>
  <c r="W5" i="11"/>
  <c r="Y5" i="11" l="1"/>
  <c r="W25" i="11"/>
  <c r="W26" i="11"/>
  <c r="W24" i="11"/>
  <c r="W27" i="11"/>
  <c r="W8" i="3"/>
  <c r="C4" i="3"/>
  <c r="D4" i="3" s="1"/>
  <c r="E4" i="3" s="1"/>
  <c r="F4" i="3" s="1"/>
  <c r="G4" i="3" s="1"/>
  <c r="H4" i="3" s="1"/>
  <c r="I4" i="3" s="1"/>
  <c r="J4" i="3" s="1"/>
  <c r="B17" i="5"/>
  <c r="B18" i="5"/>
  <c r="B14" i="5"/>
  <c r="B15" i="5"/>
  <c r="B16" i="5"/>
  <c r="B2" i="5"/>
  <c r="B3" i="5"/>
  <c r="B4" i="5"/>
  <c r="B5" i="5"/>
  <c r="B6" i="5"/>
  <c r="B7" i="5"/>
  <c r="B8" i="5"/>
  <c r="B9" i="5"/>
  <c r="B10" i="5"/>
  <c r="B11" i="5"/>
  <c r="B12" i="5"/>
  <c r="B13" i="5"/>
  <c r="B1" i="5"/>
  <c r="V34" i="3"/>
  <c r="V2" i="3"/>
  <c r="W29" i="11" l="1"/>
  <c r="W28" i="11"/>
  <c r="W5" i="3"/>
  <c r="Y5" i="3" s="1"/>
  <c r="W11" i="3"/>
  <c r="Y11" i="3" s="1"/>
  <c r="K4" i="3"/>
  <c r="L4" i="3" s="1"/>
  <c r="M4" i="3" s="1"/>
  <c r="N4" i="3" s="1"/>
  <c r="O4" i="3" s="1"/>
  <c r="W13" i="3"/>
  <c r="Y13" i="3" s="1"/>
  <c r="W14" i="3"/>
  <c r="Y14" i="3" s="1"/>
  <c r="W39" i="3"/>
  <c r="Y39" i="3" s="1"/>
  <c r="W12" i="3"/>
  <c r="Y12" i="3" s="1"/>
  <c r="W16" i="3"/>
  <c r="Y16" i="3" s="1"/>
  <c r="W15" i="3"/>
  <c r="Y15" i="3" s="1"/>
  <c r="W6" i="3"/>
  <c r="Y6" i="3" s="1"/>
  <c r="W7" i="3"/>
  <c r="Y7" i="3" s="1"/>
  <c r="W9" i="3"/>
  <c r="Y9" i="3" s="1"/>
  <c r="W10" i="3"/>
  <c r="Y10" i="3" s="1"/>
  <c r="W34" i="3"/>
  <c r="Y34" i="3" s="1"/>
</calcChain>
</file>

<file path=xl/comments1.xml><?xml version="1.0" encoding="utf-8"?>
<comments xmlns="http://schemas.openxmlformats.org/spreadsheetml/2006/main">
  <authors>
    <author>S&amp;ME Employee</author>
    <author>Quarles, William A.</author>
  </authors>
  <commentList>
    <comment ref="I8" authorId="0" shapeId="0">
      <text>
        <r>
          <rPr>
            <b/>
            <sz val="9"/>
            <color indexed="81"/>
            <rFont val="Tahoma"/>
            <charset val="1"/>
          </rPr>
          <t>S&amp;ME Employee:</t>
        </r>
        <r>
          <rPr>
            <sz val="9"/>
            <color indexed="81"/>
            <rFont val="Tahoma"/>
            <charset val="1"/>
          </rPr>
          <t xml:space="preserve">
Turned in work, 0.5 pts out of 80 max, - 2pts for missed lab
</t>
        </r>
      </text>
    </comment>
    <comment ref="B17" authorId="1" shapeId="0">
      <text>
        <r>
          <rPr>
            <b/>
            <sz val="9"/>
            <color indexed="81"/>
            <rFont val="Tahoma"/>
            <charset val="1"/>
          </rPr>
          <t>Quarles, William A.:</t>
        </r>
        <r>
          <rPr>
            <sz val="9"/>
            <color indexed="81"/>
            <rFont val="Tahoma"/>
            <charset val="1"/>
          </rPr>
          <t xml:space="preserve">
Attended Wed
</t>
        </r>
      </text>
    </comment>
  </commentList>
</comments>
</file>

<file path=xl/comments2.xml><?xml version="1.0" encoding="utf-8"?>
<comments xmlns="http://schemas.openxmlformats.org/spreadsheetml/2006/main">
  <authors>
    <author>Quarles, William A.</author>
  </authors>
  <commentList>
    <comment ref="H6" authorId="0" shapeId="0">
      <text>
        <r>
          <rPr>
            <b/>
            <sz val="9"/>
            <color indexed="81"/>
            <rFont val="Tahoma"/>
            <family val="2"/>
          </rPr>
          <t>Quarles, William A.:</t>
        </r>
        <r>
          <rPr>
            <sz val="9"/>
            <color indexed="81"/>
            <rFont val="Tahoma"/>
            <family val="2"/>
          </rPr>
          <t xml:space="preserve">
emailed 11/9/16</t>
        </r>
      </text>
    </comment>
    <comment ref="F8" authorId="0" shapeId="0">
      <text>
        <r>
          <rPr>
            <b/>
            <sz val="9"/>
            <color indexed="81"/>
            <rFont val="Tahoma"/>
            <charset val="1"/>
          </rPr>
          <t>Quarles, William A.:</t>
        </r>
        <r>
          <rPr>
            <sz val="9"/>
            <color indexed="81"/>
            <rFont val="Tahoma"/>
            <charset val="1"/>
          </rPr>
          <t xml:space="preserve">
Emailed 10/5 and 11/9</t>
        </r>
      </text>
    </comment>
    <comment ref="I11" authorId="0" shapeId="0">
      <text>
        <r>
          <rPr>
            <b/>
            <sz val="9"/>
            <color indexed="81"/>
            <rFont val="Tahoma"/>
            <family val="2"/>
          </rPr>
          <t>Quarles, William A.:</t>
        </r>
        <r>
          <rPr>
            <sz val="9"/>
            <color indexed="81"/>
            <rFont val="Tahoma"/>
            <family val="2"/>
          </rPr>
          <t xml:space="preserve">
emailed 11/9/16</t>
        </r>
      </text>
    </comment>
    <comment ref="J11" authorId="0" shapeId="0">
      <text>
        <r>
          <rPr>
            <b/>
            <sz val="9"/>
            <color indexed="81"/>
            <rFont val="Tahoma"/>
            <family val="2"/>
          </rPr>
          <t>Quarles, William A.:</t>
        </r>
        <r>
          <rPr>
            <sz val="9"/>
            <color indexed="81"/>
            <rFont val="Tahoma"/>
            <family val="2"/>
          </rPr>
          <t xml:space="preserve">
emailed 11/9/16</t>
        </r>
      </text>
    </comment>
    <comment ref="K11" authorId="0" shapeId="0">
      <text>
        <r>
          <rPr>
            <b/>
            <sz val="9"/>
            <color indexed="81"/>
            <rFont val="Tahoma"/>
            <family val="2"/>
          </rPr>
          <t>Quarles, William A.:</t>
        </r>
        <r>
          <rPr>
            <sz val="9"/>
            <color indexed="81"/>
            <rFont val="Tahoma"/>
            <family val="2"/>
          </rPr>
          <t xml:space="preserve">
emailed 11/9/16</t>
        </r>
      </text>
    </comment>
    <comment ref="J14" authorId="0" shapeId="0">
      <text>
        <r>
          <rPr>
            <b/>
            <sz val="9"/>
            <color indexed="81"/>
            <rFont val="Tahoma"/>
            <family val="2"/>
          </rPr>
          <t>Quarles, William A.:</t>
        </r>
        <r>
          <rPr>
            <sz val="9"/>
            <color indexed="81"/>
            <rFont val="Tahoma"/>
            <family val="2"/>
          </rPr>
          <t xml:space="preserve">
emailed 11/9/16</t>
        </r>
      </text>
    </comment>
    <comment ref="Q15" authorId="0" shapeId="0">
      <text>
        <r>
          <rPr>
            <b/>
            <sz val="9"/>
            <color indexed="81"/>
            <rFont val="Tahoma"/>
            <family val="2"/>
          </rPr>
          <t>Quarles, William A.:</t>
        </r>
        <r>
          <rPr>
            <sz val="9"/>
            <color indexed="81"/>
            <rFont val="Tahoma"/>
            <family val="2"/>
          </rPr>
          <t xml:space="preserve">
turned in paper copy</t>
        </r>
      </text>
    </comment>
    <comment ref="G16" authorId="0" shapeId="0">
      <text>
        <r>
          <rPr>
            <b/>
            <sz val="9"/>
            <color indexed="81"/>
            <rFont val="Tahoma"/>
            <charset val="1"/>
          </rPr>
          <t>Quarles, William A.:</t>
        </r>
        <r>
          <rPr>
            <sz val="9"/>
            <color indexed="81"/>
            <rFont val="Tahoma"/>
            <charset val="1"/>
          </rPr>
          <t xml:space="preserve">
emailed 11/9/16</t>
        </r>
      </text>
    </comment>
    <comment ref="I16" authorId="0" shapeId="0">
      <text>
        <r>
          <rPr>
            <b/>
            <sz val="9"/>
            <color indexed="81"/>
            <rFont val="Tahoma"/>
            <charset val="1"/>
          </rPr>
          <t>Quarles, William A.:</t>
        </r>
        <r>
          <rPr>
            <sz val="9"/>
            <color indexed="81"/>
            <rFont val="Tahoma"/>
            <charset val="1"/>
          </rPr>
          <t xml:space="preserve">
Attended Monday, points adjusted</t>
        </r>
      </text>
    </comment>
    <comment ref="J16" authorId="0" shapeId="0">
      <text>
        <r>
          <rPr>
            <b/>
            <sz val="9"/>
            <color indexed="81"/>
            <rFont val="Tahoma"/>
            <family val="2"/>
          </rPr>
          <t>Quarles, William A.:</t>
        </r>
        <r>
          <rPr>
            <sz val="9"/>
            <color indexed="81"/>
            <rFont val="Tahoma"/>
            <family val="2"/>
          </rPr>
          <t xml:space="preserve">
emailed 11/9/16</t>
        </r>
      </text>
    </comment>
  </commentList>
</comments>
</file>

<file path=xl/sharedStrings.xml><?xml version="1.0" encoding="utf-8"?>
<sst xmlns="http://schemas.openxmlformats.org/spreadsheetml/2006/main" count="324" uniqueCount="156">
  <si>
    <t>Name</t>
  </si>
  <si>
    <t>Tectonics</t>
  </si>
  <si>
    <t>Minerals</t>
  </si>
  <si>
    <t>Igneous</t>
  </si>
  <si>
    <t>Total</t>
  </si>
  <si>
    <t>%</t>
  </si>
  <si>
    <t>Available Points To Date</t>
  </si>
  <si>
    <t>Available Points</t>
  </si>
  <si>
    <t>None</t>
  </si>
  <si>
    <t>Mineral
Quiz</t>
  </si>
  <si>
    <t>Igneous
Quiz</t>
  </si>
  <si>
    <t>Sed Rock
Quiz</t>
  </si>
  <si>
    <t>GW</t>
  </si>
  <si>
    <t>Meta-
morphic</t>
  </si>
  <si>
    <t>Sedi-
mentary</t>
  </si>
  <si>
    <t>Seismic</t>
  </si>
  <si>
    <t>Meta Rock
Quiz</t>
  </si>
  <si>
    <t>Wednesday
Section 003</t>
  </si>
  <si>
    <t>Streams</t>
  </si>
  <si>
    <t>Topo</t>
  </si>
  <si>
    <t>Geo Time</t>
  </si>
  <si>
    <t>Weath-
ering</t>
  </si>
  <si>
    <t>EC</t>
  </si>
  <si>
    <t>Min</t>
  </si>
  <si>
    <t>Grade</t>
  </si>
  <si>
    <t>Total
Points</t>
  </si>
  <si>
    <t>Max</t>
  </si>
  <si>
    <t>Ave</t>
  </si>
  <si>
    <t>SD</t>
  </si>
  <si>
    <t>Ave - 1 SD</t>
  </si>
  <si>
    <t>Ave + 1 SD</t>
  </si>
  <si>
    <t>Record</t>
  </si>
  <si>
    <t>Number</t>
  </si>
  <si>
    <t>Student Name</t>
  </si>
  <si>
    <t>ID</t>
  </si>
  <si>
    <t>Reg Status</t>
  </si>
  <si>
    <t>Level</t>
  </si>
  <si>
    <t>Credits</t>
  </si>
  <si>
    <t>Registered via web</t>
  </si>
  <si>
    <t>Undergraduate</t>
  </si>
  <si>
    <t>Registered</t>
  </si>
  <si>
    <t>Interim Grading</t>
  </si>
  <si>
    <t>Course Withdrawal Date</t>
  </si>
  <si>
    <t>Last Class</t>
  </si>
  <si>
    <t>Spring Break</t>
  </si>
  <si>
    <t>Mar 14-18, 2016</t>
  </si>
  <si>
    <t>Monday am
Section 001</t>
  </si>
  <si>
    <t>No Lab</t>
  </si>
  <si>
    <t>Coasts</t>
  </si>
  <si>
    <t>Curve Pts</t>
  </si>
  <si>
    <t>B</t>
  </si>
  <si>
    <t>C+</t>
  </si>
  <si>
    <t>A</t>
  </si>
  <si>
    <t>B+</t>
  </si>
  <si>
    <t>C</t>
  </si>
  <si>
    <t xml:space="preserve">Argabright, Tatiana E. </t>
  </si>
  <si>
    <t>W30185934</t>
  </si>
  <si>
    <t xml:space="preserve">Bailey, Anna C. </t>
  </si>
  <si>
    <t>W30105910</t>
  </si>
  <si>
    <t xml:space="preserve">Berry, Sarah E. </t>
  </si>
  <si>
    <t>W30259266</t>
  </si>
  <si>
    <t xml:space="preserve">Binns, Kiana M. </t>
  </si>
  <si>
    <t>W30191702</t>
  </si>
  <si>
    <t xml:space="preserve">Cain, Jenna L. </t>
  </si>
  <si>
    <t>W30144277</t>
  </si>
  <si>
    <t xml:space="preserve">Durham, Allisondria D. </t>
  </si>
  <si>
    <t>W30130060</t>
  </si>
  <si>
    <t xml:space="preserve">Flowers, Aiyana C. </t>
  </si>
  <si>
    <t>W30143997</t>
  </si>
  <si>
    <t xml:space="preserve">Gooley, Emily R. </t>
  </si>
  <si>
    <t>W30214515</t>
  </si>
  <si>
    <t xml:space="preserve">Hopkins, Laura G. </t>
  </si>
  <si>
    <t>W30250628</t>
  </si>
  <si>
    <t xml:space="preserve">Massaro- Guglielmo, Maria-Francesca </t>
  </si>
  <si>
    <t>W30186928</t>
  </si>
  <si>
    <t xml:space="preserve">Medico, Madia A. </t>
  </si>
  <si>
    <t>W30127386</t>
  </si>
  <si>
    <t xml:space="preserve">Owens, Taryn W. </t>
  </si>
  <si>
    <t>W30140917</t>
  </si>
  <si>
    <t xml:space="preserve">Satterfield, Erin N. </t>
  </si>
  <si>
    <t>W30196637</t>
  </si>
  <si>
    <t xml:space="preserve">Sprague, Caroline R. </t>
  </si>
  <si>
    <t>W30208082</t>
  </si>
  <si>
    <t xml:space="preserve">Williams, Nolan G. </t>
  </si>
  <si>
    <t>W30222691</t>
  </si>
  <si>
    <t xml:space="preserve">Brasington, Hannah C. </t>
  </si>
  <si>
    <t>W30183365</t>
  </si>
  <si>
    <t xml:space="preserve">Coleman, Holisha K. </t>
  </si>
  <si>
    <t>W30136766</t>
  </si>
  <si>
    <t xml:space="preserve">Galdeen, Evan M. </t>
  </si>
  <si>
    <t>W30213381</t>
  </si>
  <si>
    <t xml:space="preserve">Hicks, Christopher A. </t>
  </si>
  <si>
    <t>W30230216</t>
  </si>
  <si>
    <t xml:space="preserve">Kerr, Ryan M. </t>
  </si>
  <si>
    <t>W30198198</t>
  </si>
  <si>
    <t xml:space="preserve">Lindler, Shelby P. </t>
  </si>
  <si>
    <t>W30145376</t>
  </si>
  <si>
    <t xml:space="preserve">Mills, Sawyer L. </t>
  </si>
  <si>
    <t>W30265489</t>
  </si>
  <si>
    <t xml:space="preserve">Morrison, Zachary E. </t>
  </si>
  <si>
    <t>W30227269</t>
  </si>
  <si>
    <t xml:space="preserve">Nine, Sophia A. </t>
  </si>
  <si>
    <t>W30198233</t>
  </si>
  <si>
    <t xml:space="preserve">Plaxco, Callie E. </t>
  </si>
  <si>
    <t>W30276598</t>
  </si>
  <si>
    <t xml:space="preserve">Stalions, Sarah J. </t>
  </si>
  <si>
    <t>W30147588</t>
  </si>
  <si>
    <t xml:space="preserve">Walter, Daniel A. </t>
  </si>
  <si>
    <t>W30184289</t>
  </si>
  <si>
    <t xml:space="preserve">Whitman, Sydney Z. </t>
  </si>
  <si>
    <t>W30181713</t>
  </si>
  <si>
    <t xml:space="preserve">Wright, Sara A. </t>
  </si>
  <si>
    <t>W30202811</t>
  </si>
  <si>
    <t>topoquiz</t>
  </si>
  <si>
    <t xml:space="preserve">Williams, Nolan </t>
  </si>
  <si>
    <t>Sprague, Caroline</t>
  </si>
  <si>
    <t>Medico, Madia</t>
  </si>
  <si>
    <t xml:space="preserve">Hopkins, LauraGray </t>
  </si>
  <si>
    <t>Gooley, Emily</t>
  </si>
  <si>
    <r>
      <rPr>
        <u/>
        <sz val="10"/>
        <rFont val="Arial"/>
        <family val="2"/>
      </rPr>
      <t>Flowers,</t>
    </r>
    <r>
      <rPr>
        <sz val="10"/>
        <rFont val="Arial"/>
        <family val="2"/>
      </rPr>
      <t xml:space="preserve"> Aiyana</t>
    </r>
  </si>
  <si>
    <t>Cain, Jenna</t>
  </si>
  <si>
    <t>Binns, Kiana</t>
  </si>
  <si>
    <t>Berry, Sarah</t>
  </si>
  <si>
    <t>Bailey, Anna</t>
  </si>
  <si>
    <t>Owens, Taryn</t>
  </si>
  <si>
    <t>Argabright, Tatiana</t>
  </si>
  <si>
    <t>topo quiz</t>
  </si>
  <si>
    <t>Maria Francesca (Massaro)</t>
  </si>
  <si>
    <t>Jr</t>
  </si>
  <si>
    <t>BA, Comp Science</t>
  </si>
  <si>
    <t>Sr</t>
  </si>
  <si>
    <t>Psych</t>
  </si>
  <si>
    <t>Englis</t>
  </si>
  <si>
    <t>So</t>
  </si>
  <si>
    <t>Sport Mgmt</t>
  </si>
  <si>
    <t>Music</t>
  </si>
  <si>
    <t>BA, Management/Marketing</t>
  </si>
  <si>
    <t>Theater &amp; Dance</t>
  </si>
  <si>
    <t>Art</t>
  </si>
  <si>
    <t>Elem Ed</t>
  </si>
  <si>
    <t>Early Childhood Ed</t>
  </si>
  <si>
    <t>Digital Mass Media</t>
  </si>
  <si>
    <t>BA, Acct/Finance</t>
  </si>
  <si>
    <t>Biology</t>
  </si>
  <si>
    <t>Spec Ed</t>
  </si>
  <si>
    <t>Mid Level Ed</t>
  </si>
  <si>
    <t>English</t>
  </si>
  <si>
    <t>Visual Comm Design</t>
  </si>
  <si>
    <t>Theatre</t>
  </si>
  <si>
    <t>Mass Comm</t>
  </si>
  <si>
    <t>Withdrawn</t>
  </si>
  <si>
    <t>MinQ</t>
  </si>
  <si>
    <t>IgnQ</t>
  </si>
  <si>
    <t>MetaQ</t>
  </si>
  <si>
    <t>GeoTime</t>
  </si>
  <si>
    <t>Seismic/Tect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</si>
</sst>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/dd/yy;@"/>
    <numFmt numFmtId="165" formatCode="0.0"/>
    <numFmt numFmtId="166" formatCode="0.0%"/>
  </numFmts>
  <fonts count="12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0"/>
      <name val="Arial"/>
    </font>
    <font>
      <u/>
      <sz val="10"/>
      <name val="Arial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86">
    <xf numFmtId="0" fontId="0" fillId="0" borderId="0" xfId="0"/>
    <xf numFmtId="165" fontId="4" fillId="0" borderId="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166" fontId="4" fillId="0" borderId="5" xfId="1" applyNumberFormat="1" applyFont="1" applyFill="1" applyBorder="1" applyAlignment="1">
      <alignment horizontal="center" vertical="center"/>
    </xf>
    <xf numFmtId="165" fontId="4" fillId="0" borderId="0" xfId="0" applyNumberFormat="1" applyFont="1" applyFill="1" applyAlignment="1">
      <alignment vertical="center"/>
    </xf>
    <xf numFmtId="0" fontId="4" fillId="0" borderId="6" xfId="0" applyFont="1" applyFill="1" applyBorder="1" applyAlignment="1">
      <alignment vertical="center" wrapText="1"/>
    </xf>
    <xf numFmtId="0" fontId="4" fillId="0" borderId="7" xfId="0" applyNumberFormat="1" applyFont="1" applyFill="1" applyBorder="1" applyAlignment="1">
      <alignment horizontal="center" vertical="center"/>
    </xf>
    <xf numFmtId="2" fontId="4" fillId="0" borderId="7" xfId="0" applyNumberFormat="1" applyFont="1" applyFill="1" applyBorder="1" applyAlignment="1">
      <alignment horizontal="center" vertical="center"/>
    </xf>
    <xf numFmtId="166" fontId="4" fillId="0" borderId="8" xfId="1" applyNumberFormat="1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/>
    </xf>
    <xf numFmtId="0" fontId="4" fillId="0" borderId="10" xfId="0" applyFont="1" applyFill="1" applyBorder="1" applyAlignment="1">
      <alignment horizontal="center" wrapText="1"/>
    </xf>
    <xf numFmtId="0" fontId="4" fillId="0" borderId="0" xfId="0" applyFont="1" applyFill="1"/>
    <xf numFmtId="165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65" fontId="2" fillId="0" borderId="2" xfId="0" applyNumberFormat="1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/>
    </xf>
    <xf numFmtId="0" fontId="2" fillId="0" borderId="6" xfId="0" applyFont="1" applyFill="1" applyBorder="1" applyAlignment="1">
      <alignment vertical="center" wrapText="1"/>
    </xf>
    <xf numFmtId="14" fontId="4" fillId="0" borderId="0" xfId="0" applyNumberFormat="1" applyFont="1" applyFill="1"/>
    <xf numFmtId="0" fontId="2" fillId="0" borderId="0" xfId="0" applyFont="1" applyFill="1"/>
    <xf numFmtId="0" fontId="2" fillId="0" borderId="4" xfId="0" applyFont="1" applyFill="1" applyBorder="1" applyAlignment="1">
      <alignment vertical="center" wrapText="1"/>
    </xf>
    <xf numFmtId="0" fontId="2" fillId="0" borderId="12" xfId="0" applyFont="1" applyFill="1" applyBorder="1" applyAlignment="1">
      <alignment vertical="center" wrapText="1"/>
    </xf>
    <xf numFmtId="0" fontId="2" fillId="0" borderId="9" xfId="0" applyFont="1" applyFill="1" applyBorder="1" applyAlignment="1">
      <alignment wrapText="1"/>
    </xf>
    <xf numFmtId="0" fontId="2" fillId="0" borderId="10" xfId="0" applyFont="1" applyFill="1" applyBorder="1" applyAlignment="1">
      <alignment horizontal="center" wrapText="1"/>
    </xf>
    <xf numFmtId="164" fontId="4" fillId="0" borderId="0" xfId="0" applyNumberFormat="1" applyFont="1" applyFill="1"/>
    <xf numFmtId="0" fontId="4" fillId="0" borderId="0" xfId="0" applyFont="1" applyFill="1" applyBorder="1" applyAlignment="1">
      <alignment horizontal="center" wrapText="1"/>
    </xf>
    <xf numFmtId="0" fontId="2" fillId="0" borderId="0" xfId="0" applyFont="1" applyFill="1" applyAlignment="1">
      <alignment vertical="center"/>
    </xf>
    <xf numFmtId="165" fontId="4" fillId="0" borderId="0" xfId="0" applyNumberFormat="1" applyFont="1" applyFill="1"/>
    <xf numFmtId="0" fontId="2" fillId="0" borderId="0" xfId="0" applyFont="1" applyFill="1" applyBorder="1"/>
    <xf numFmtId="0" fontId="2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165" fontId="5" fillId="0" borderId="0" xfId="0" applyNumberFormat="1" applyFont="1" applyFill="1" applyAlignment="1">
      <alignment horizontal="center" vertical="center"/>
    </xf>
    <xf numFmtId="0" fontId="4" fillId="0" borderId="0" xfId="0" applyNumberFormat="1" applyFont="1" applyFill="1" applyAlignment="1">
      <alignment horizontal="center"/>
    </xf>
    <xf numFmtId="0" fontId="2" fillId="0" borderId="0" xfId="0" applyNumberFormat="1" applyFont="1" applyFill="1" applyBorder="1" applyAlignment="1">
      <alignment horizontal="center"/>
    </xf>
    <xf numFmtId="0" fontId="4" fillId="0" borderId="0" xfId="0" applyNumberFormat="1" applyFont="1" applyFill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166" fontId="2" fillId="0" borderId="3" xfId="1" applyNumberFormat="1" applyFont="1" applyFill="1" applyBorder="1" applyAlignment="1">
      <alignment horizontal="center" vertical="center"/>
    </xf>
    <xf numFmtId="166" fontId="2" fillId="0" borderId="5" xfId="1" applyNumberFormat="1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vertical="center" wrapText="1"/>
    </xf>
    <xf numFmtId="0" fontId="2" fillId="0" borderId="0" xfId="0" quotePrefix="1" applyFont="1" applyFill="1" applyBorder="1" applyAlignment="1">
      <alignment vertical="center" wrapText="1"/>
    </xf>
    <xf numFmtId="0" fontId="1" fillId="0" borderId="0" xfId="2"/>
    <xf numFmtId="0" fontId="1" fillId="0" borderId="0" xfId="2" applyAlignment="1">
      <alignment horizontal="center"/>
    </xf>
    <xf numFmtId="165" fontId="1" fillId="0" borderId="0" xfId="2" applyNumberFormat="1" applyAlignment="1">
      <alignment horizontal="center"/>
    </xf>
    <xf numFmtId="165" fontId="2" fillId="0" borderId="0" xfId="0" applyNumberFormat="1" applyFont="1" applyFill="1" applyBorder="1" applyAlignment="1">
      <alignment horizontal="center" vertical="center"/>
    </xf>
    <xf numFmtId="0" fontId="4" fillId="0" borderId="6" xfId="0" applyFont="1" applyFill="1" applyBorder="1" applyAlignment="1">
      <alignment vertical="top" wrapText="1"/>
    </xf>
    <xf numFmtId="164" fontId="4" fillId="0" borderId="7" xfId="0" applyNumberFormat="1" applyFont="1" applyFill="1" applyBorder="1" applyAlignment="1">
      <alignment horizontal="center" vertical="top"/>
    </xf>
    <xf numFmtId="0" fontId="4" fillId="0" borderId="7" xfId="0" applyFont="1" applyFill="1" applyBorder="1" applyAlignment="1">
      <alignment horizontal="center" vertical="top"/>
    </xf>
    <xf numFmtId="0" fontId="4" fillId="0" borderId="8" xfId="0" quotePrefix="1" applyFont="1" applyFill="1" applyBorder="1" applyAlignment="1">
      <alignment horizontal="center" vertical="top"/>
    </xf>
    <xf numFmtId="0" fontId="4" fillId="0" borderId="0" xfId="0" applyFont="1" applyFill="1" applyAlignment="1">
      <alignment vertical="top"/>
    </xf>
    <xf numFmtId="0" fontId="2" fillId="0" borderId="0" xfId="0" applyFont="1" applyFill="1" applyAlignment="1">
      <alignment vertical="top"/>
    </xf>
    <xf numFmtId="0" fontId="2" fillId="0" borderId="0" xfId="0" applyFont="1" applyFill="1" applyAlignment="1">
      <alignment horizontal="center" vertical="top"/>
    </xf>
    <xf numFmtId="0" fontId="2" fillId="0" borderId="0" xfId="0" applyFont="1" applyFill="1" applyBorder="1" applyAlignment="1">
      <alignment vertical="top"/>
    </xf>
    <xf numFmtId="14" fontId="4" fillId="0" borderId="0" xfId="0" applyNumberFormat="1" applyFont="1" applyFill="1" applyAlignment="1">
      <alignment horizontal="left"/>
    </xf>
    <xf numFmtId="14" fontId="2" fillId="0" borderId="0" xfId="0" applyNumberFormat="1" applyFont="1" applyFill="1" applyAlignment="1">
      <alignment horizontal="left"/>
    </xf>
    <xf numFmtId="0" fontId="2" fillId="0" borderId="0" xfId="0" applyFont="1" applyFill="1" applyAlignment="1">
      <alignment horizontal="center" wrapText="1"/>
    </xf>
    <xf numFmtId="164" fontId="4" fillId="2" borderId="7" xfId="0" applyNumberFormat="1" applyFont="1" applyFill="1" applyBorder="1" applyAlignment="1">
      <alignment horizontal="center" vertical="top"/>
    </xf>
    <xf numFmtId="165" fontId="2" fillId="0" borderId="0" xfId="0" applyNumberFormat="1" applyFont="1" applyFill="1"/>
    <xf numFmtId="0" fontId="4" fillId="0" borderId="12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4" fillId="3" borderId="0" xfId="0" applyFont="1" applyFill="1"/>
    <xf numFmtId="0" fontId="6" fillId="0" borderId="0" xfId="0" applyFont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vertical="center"/>
    </xf>
    <xf numFmtId="1" fontId="2" fillId="0" borderId="2" xfId="0" applyNumberFormat="1" applyFont="1" applyFill="1" applyBorder="1" applyAlignment="1">
      <alignment horizontal="center" vertical="center"/>
    </xf>
    <xf numFmtId="164" fontId="2" fillId="0" borderId="7" xfId="0" applyNumberFormat="1" applyFont="1" applyFill="1" applyBorder="1" applyAlignment="1">
      <alignment horizontal="center" vertical="top"/>
    </xf>
    <xf numFmtId="0" fontId="0" fillId="0" borderId="0" xfId="0" applyAlignment="1">
      <alignment vertical="center"/>
    </xf>
    <xf numFmtId="0" fontId="2" fillId="2" borderId="4" xfId="0" applyFont="1" applyFill="1" applyBorder="1" applyAlignment="1">
      <alignment vertical="center" wrapText="1"/>
    </xf>
    <xf numFmtId="165" fontId="2" fillId="2" borderId="1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/>
    </xf>
    <xf numFmtId="165" fontId="4" fillId="4" borderId="0" xfId="0" applyNumberFormat="1" applyFont="1" applyFill="1" applyAlignment="1">
      <alignment vertical="center"/>
    </xf>
    <xf numFmtId="0" fontId="5" fillId="4" borderId="0" xfId="0" applyFont="1" applyFill="1" applyAlignment="1">
      <alignment horizontal="center" vertical="center"/>
    </xf>
    <xf numFmtId="165" fontId="2" fillId="4" borderId="1" xfId="0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vertical="center"/>
    </xf>
    <xf numFmtId="0" fontId="4" fillId="2" borderId="0" xfId="0" applyFont="1" applyFill="1" applyAlignment="1">
      <alignment vertical="center"/>
    </xf>
    <xf numFmtId="165" fontId="2" fillId="2" borderId="2" xfId="0" applyNumberFormat="1" applyFont="1" applyFill="1" applyBorder="1" applyAlignment="1">
      <alignment horizontal="center" vertical="center"/>
    </xf>
    <xf numFmtId="0" fontId="2" fillId="2" borderId="0" xfId="0" applyFont="1" applyFill="1" applyBorder="1"/>
    <xf numFmtId="0" fontId="2" fillId="0" borderId="0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K35"/>
  <sheetViews>
    <sheetView tabSelected="1" zoomScale="90" zoomScaleNormal="90" zoomScaleSheetLayoutView="10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I10" sqref="I10"/>
    </sheetView>
  </sheetViews>
  <sheetFormatPr defaultColWidth="9.140625" defaultRowHeight="12.75" x14ac:dyDescent="0.2"/>
  <cols>
    <col min="1" max="1" width="27.140625" style="12" customWidth="1"/>
    <col min="2" max="23" width="9.7109375" style="12" customWidth="1"/>
    <col min="24" max="24" width="3.42578125" style="12" bestFit="1" customWidth="1"/>
    <col min="25" max="25" width="9.28515625" style="12" customWidth="1"/>
    <col min="26" max="16384" width="9.140625" style="12"/>
  </cols>
  <sheetData>
    <row r="1" spans="1:37" ht="39.75" customHeight="1" x14ac:dyDescent="0.2">
      <c r="A1" s="22" t="s">
        <v>46</v>
      </c>
      <c r="B1" s="11" t="s">
        <v>19</v>
      </c>
      <c r="C1" s="11" t="s">
        <v>2</v>
      </c>
      <c r="D1" s="10" t="s">
        <v>3</v>
      </c>
      <c r="E1" s="23" t="s">
        <v>21</v>
      </c>
      <c r="F1" s="11" t="s">
        <v>14</v>
      </c>
      <c r="G1" s="23" t="s">
        <v>13</v>
      </c>
      <c r="H1" s="11" t="s">
        <v>15</v>
      </c>
      <c r="I1" s="11" t="s">
        <v>20</v>
      </c>
      <c r="J1" s="23" t="s">
        <v>18</v>
      </c>
      <c r="K1" s="23" t="s">
        <v>12</v>
      </c>
      <c r="L1" s="23" t="s">
        <v>48</v>
      </c>
      <c r="M1" s="23"/>
      <c r="N1" s="23" t="s">
        <v>47</v>
      </c>
      <c r="O1" s="23" t="s">
        <v>1</v>
      </c>
      <c r="P1" s="23" t="s">
        <v>2</v>
      </c>
      <c r="Q1" s="23" t="s">
        <v>113</v>
      </c>
      <c r="R1" s="11" t="s">
        <v>9</v>
      </c>
      <c r="S1" s="11" t="s">
        <v>10</v>
      </c>
      <c r="T1" s="11" t="s">
        <v>11</v>
      </c>
      <c r="U1" s="11" t="s">
        <v>16</v>
      </c>
      <c r="V1" s="23" t="s">
        <v>25</v>
      </c>
      <c r="W1" s="38" t="s">
        <v>24</v>
      </c>
    </row>
    <row r="2" spans="1:37" ht="15.95" customHeight="1" x14ac:dyDescent="0.2">
      <c r="A2" s="58" t="s">
        <v>7</v>
      </c>
      <c r="B2" s="59">
        <v>10</v>
      </c>
      <c r="C2" s="59">
        <v>10</v>
      </c>
      <c r="D2" s="59">
        <v>10</v>
      </c>
      <c r="E2" s="60">
        <v>10</v>
      </c>
      <c r="F2" s="59">
        <v>10</v>
      </c>
      <c r="G2" s="59">
        <v>10</v>
      </c>
      <c r="H2" s="59">
        <v>10</v>
      </c>
      <c r="I2" s="59">
        <v>10</v>
      </c>
      <c r="J2" s="59">
        <v>10</v>
      </c>
      <c r="K2" s="59">
        <v>10</v>
      </c>
      <c r="L2" s="59">
        <v>10</v>
      </c>
      <c r="M2" s="59">
        <v>10</v>
      </c>
      <c r="N2" s="59">
        <v>10</v>
      </c>
      <c r="O2" s="59">
        <v>0</v>
      </c>
      <c r="P2" s="59"/>
      <c r="Q2" s="59">
        <v>0</v>
      </c>
      <c r="R2" s="59">
        <v>10</v>
      </c>
      <c r="S2" s="59">
        <v>10</v>
      </c>
      <c r="T2" s="59">
        <v>10</v>
      </c>
      <c r="U2" s="59">
        <v>10</v>
      </c>
      <c r="V2" s="61">
        <f>SUM(B2:U2)</f>
        <v>170</v>
      </c>
      <c r="W2" s="62"/>
      <c r="Z2" s="19"/>
      <c r="AA2" s="75">
        <v>6.25</v>
      </c>
      <c r="AB2" s="19"/>
      <c r="AC2" s="19"/>
      <c r="AD2" s="28"/>
      <c r="AE2" s="28">
        <v>0.8</v>
      </c>
      <c r="AF2" s="12">
        <v>1.2</v>
      </c>
    </row>
    <row r="3" spans="1:37" ht="15.95" customHeight="1" x14ac:dyDescent="0.2">
      <c r="A3" s="58" t="s">
        <v>6</v>
      </c>
      <c r="B3" s="63">
        <v>10</v>
      </c>
      <c r="C3" s="63">
        <v>10</v>
      </c>
      <c r="D3" s="63">
        <v>10</v>
      </c>
      <c r="E3" s="63">
        <v>10</v>
      </c>
      <c r="F3" s="63">
        <v>10</v>
      </c>
      <c r="G3" s="63">
        <v>10</v>
      </c>
      <c r="H3" s="63">
        <v>10</v>
      </c>
      <c r="I3" s="63">
        <v>10</v>
      </c>
      <c r="J3" s="63">
        <v>10</v>
      </c>
      <c r="K3" s="63"/>
      <c r="L3" s="63"/>
      <c r="M3" s="63"/>
      <c r="N3" s="60"/>
      <c r="O3" s="59"/>
      <c r="P3" s="59"/>
      <c r="Q3" s="59"/>
      <c r="R3" s="63">
        <v>10</v>
      </c>
      <c r="S3" s="59">
        <v>10</v>
      </c>
      <c r="T3" s="59">
        <v>10</v>
      </c>
      <c r="U3" s="59">
        <v>10</v>
      </c>
      <c r="V3" s="59">
        <f>SUM(B3:U3)-R3</f>
        <v>120</v>
      </c>
      <c r="W3" s="64"/>
      <c r="Z3" s="32"/>
      <c r="AA3" s="32">
        <v>50</v>
      </c>
      <c r="AB3" s="35">
        <v>12</v>
      </c>
      <c r="AC3" s="35">
        <v>20</v>
      </c>
      <c r="AD3" s="33">
        <v>46</v>
      </c>
      <c r="AE3" s="33">
        <v>39</v>
      </c>
      <c r="AF3" s="32">
        <v>48</v>
      </c>
      <c r="AG3" s="32"/>
      <c r="AH3" s="32"/>
      <c r="AI3" s="32"/>
    </row>
    <row r="4" spans="1:37" ht="26.25" customHeight="1" thickBot="1" x14ac:dyDescent="0.25">
      <c r="A4" s="45" t="s">
        <v>0</v>
      </c>
      <c r="B4" s="46">
        <v>42611</v>
      </c>
      <c r="C4" s="56">
        <f>B4+14</f>
        <v>42625</v>
      </c>
      <c r="D4" s="46">
        <f t="shared" ref="D4:O4" si="0">C4+7</f>
        <v>42632</v>
      </c>
      <c r="E4" s="46">
        <f t="shared" si="0"/>
        <v>42639</v>
      </c>
      <c r="F4" s="46">
        <f t="shared" si="0"/>
        <v>42646</v>
      </c>
      <c r="G4" s="46">
        <f t="shared" si="0"/>
        <v>42653</v>
      </c>
      <c r="H4" s="56">
        <f>G4+14</f>
        <v>42667</v>
      </c>
      <c r="I4" s="46">
        <f>H4+7</f>
        <v>42674</v>
      </c>
      <c r="J4" s="46">
        <f t="shared" si="0"/>
        <v>42681</v>
      </c>
      <c r="K4" s="46">
        <f t="shared" si="0"/>
        <v>42688</v>
      </c>
      <c r="L4" s="46">
        <f t="shared" si="0"/>
        <v>42695</v>
      </c>
      <c r="M4" s="46">
        <f t="shared" si="0"/>
        <v>42702</v>
      </c>
      <c r="N4" s="46">
        <f t="shared" si="0"/>
        <v>42709</v>
      </c>
      <c r="O4" s="46">
        <f t="shared" si="0"/>
        <v>42716</v>
      </c>
      <c r="P4" s="71" t="s">
        <v>22</v>
      </c>
      <c r="Q4" s="71" t="s">
        <v>22</v>
      </c>
      <c r="R4" s="46"/>
      <c r="S4" s="46"/>
      <c r="T4" s="46"/>
      <c r="U4" s="46"/>
      <c r="V4" s="47" t="s">
        <v>4</v>
      </c>
      <c r="W4" s="48" t="s">
        <v>5</v>
      </c>
      <c r="X4" s="49"/>
      <c r="Y4" s="49"/>
      <c r="Z4" s="50"/>
      <c r="AA4" s="50" t="s">
        <v>19</v>
      </c>
      <c r="AB4" s="51" t="s">
        <v>151</v>
      </c>
      <c r="AC4" s="50" t="s">
        <v>152</v>
      </c>
      <c r="AD4" s="52" t="s">
        <v>154</v>
      </c>
      <c r="AE4" s="52" t="s">
        <v>18</v>
      </c>
      <c r="AF4" s="50" t="s">
        <v>155</v>
      </c>
      <c r="AG4" s="49"/>
      <c r="AH4" s="49"/>
      <c r="AI4" s="49"/>
      <c r="AJ4" s="49"/>
    </row>
    <row r="5" spans="1:37" s="2" customFormat="1" ht="20.100000000000001" customHeight="1" x14ac:dyDescent="0.2">
      <c r="A5" s="20" t="s">
        <v>125</v>
      </c>
      <c r="B5" s="16">
        <f t="shared" ref="B5:B16" si="1">10*(AA$3-AA5+AA$2)/50</f>
        <v>8.6999999999999993</v>
      </c>
      <c r="C5" s="16">
        <v>10</v>
      </c>
      <c r="D5" s="16">
        <v>10</v>
      </c>
      <c r="E5" s="15">
        <f>(25-3)/25*10</f>
        <v>8.8000000000000007</v>
      </c>
      <c r="F5" s="16">
        <v>10</v>
      </c>
      <c r="G5" s="16">
        <v>10</v>
      </c>
      <c r="H5" s="15">
        <f>(AF$3-AF5)/AF$3*10+AF$2</f>
        <v>9.6374999999999993</v>
      </c>
      <c r="I5" s="15">
        <f>(AD$3-AD5)/AD$3*10</f>
        <v>9.3478260869565215</v>
      </c>
      <c r="J5" s="15">
        <f>(AE$3-AE5)/AE$3*10+AE$2</f>
        <v>8.8769230769230774</v>
      </c>
      <c r="K5" s="15"/>
      <c r="L5" s="15"/>
      <c r="M5" s="16"/>
      <c r="N5" s="16"/>
      <c r="O5" s="15"/>
      <c r="P5" s="15"/>
      <c r="Q5" s="70">
        <v>1</v>
      </c>
      <c r="R5" s="16">
        <f t="shared" ref="R5:R19" si="2">(AB$3-AB5)/AB$3*10</f>
        <v>9.1666666666666661</v>
      </c>
      <c r="S5" s="16">
        <f t="shared" ref="S5:S19" si="3">(AC$3-AC5)/AC$3*10</f>
        <v>9.75</v>
      </c>
      <c r="T5" s="16">
        <v>9.5</v>
      </c>
      <c r="U5" s="16">
        <v>10</v>
      </c>
      <c r="V5" s="16">
        <f t="shared" ref="V5" si="4">SUM(B5:U5)-MIN(R5:U5)</f>
        <v>115.6122491638796</v>
      </c>
      <c r="W5" s="37">
        <f t="shared" ref="W5" si="5">V5/$V$3</f>
        <v>0.96343540969899666</v>
      </c>
      <c r="X5" s="26"/>
      <c r="Y5" s="29" t="str">
        <f t="shared" ref="Y5:Y19" si="6">IF(W5&gt;0.894,"A",IF(W5&gt;0.864,"B+",IF(W5&gt;0.794,"B",IF(W5&gt;0.764,"C+",IF(W5&gt;0.694,"C",IF(W5&gt;0.594,"D","F"))))))</f>
        <v>A</v>
      </c>
      <c r="Z5" s="30"/>
      <c r="AA5" s="31">
        <v>12.75</v>
      </c>
      <c r="AB5" s="30">
        <v>1</v>
      </c>
      <c r="AC5" s="30">
        <v>0.5</v>
      </c>
      <c r="AD5" s="30">
        <v>3</v>
      </c>
      <c r="AE5" s="30">
        <v>7.5</v>
      </c>
      <c r="AF5" s="30">
        <v>7.5</v>
      </c>
      <c r="AG5" s="30"/>
    </row>
    <row r="6" spans="1:37" s="2" customFormat="1" ht="20.100000000000001" customHeight="1" x14ac:dyDescent="0.2">
      <c r="A6" s="20" t="s">
        <v>123</v>
      </c>
      <c r="B6" s="16">
        <f t="shared" si="1"/>
        <v>8.9499999999999993</v>
      </c>
      <c r="C6" s="16">
        <v>10</v>
      </c>
      <c r="D6" s="16">
        <v>10</v>
      </c>
      <c r="E6" s="15">
        <f>(25-4.5)/25*10</f>
        <v>8.1999999999999993</v>
      </c>
      <c r="F6" s="16">
        <v>10</v>
      </c>
      <c r="G6" s="16">
        <v>10</v>
      </c>
      <c r="H6" s="15">
        <f t="shared" ref="H6:H19" si="7">(AF$3-AF6)/AF$3*10+AF$2</f>
        <v>5.8875000000000002</v>
      </c>
      <c r="I6" s="15">
        <f t="shared" ref="I6:I7" si="8">(AD$3-AD6)/AD$3*10</f>
        <v>8.695652173913043</v>
      </c>
      <c r="J6" s="15">
        <f t="shared" ref="J6:J8" si="9">(AE$3-AE6)/AE$3*10+AE$2</f>
        <v>8.3641025641025646</v>
      </c>
      <c r="K6" s="15"/>
      <c r="L6" s="15"/>
      <c r="M6" s="16"/>
      <c r="N6" s="15"/>
      <c r="O6" s="15"/>
      <c r="P6" s="15"/>
      <c r="Q6" s="70">
        <v>1</v>
      </c>
      <c r="R6" s="16">
        <f t="shared" si="2"/>
        <v>8.3333333333333339</v>
      </c>
      <c r="S6" s="78">
        <f t="shared" si="3"/>
        <v>8</v>
      </c>
      <c r="T6" s="16">
        <v>6.5</v>
      </c>
      <c r="U6" s="78">
        <v>5.75</v>
      </c>
      <c r="V6" s="16">
        <f t="shared" ref="V6:V19" si="10">SUM(B6:U6)-MIN(R6:U6)</f>
        <v>103.93058807134894</v>
      </c>
      <c r="W6" s="37">
        <f t="shared" ref="W6:W19" si="11">V6/$V$3</f>
        <v>0.86608823392790779</v>
      </c>
      <c r="Y6" s="29" t="str">
        <f t="shared" si="6"/>
        <v>B+</v>
      </c>
      <c r="Z6" s="30"/>
      <c r="AA6" s="31">
        <v>11.5</v>
      </c>
      <c r="AB6" s="30">
        <v>2</v>
      </c>
      <c r="AC6" s="77">
        <v>4</v>
      </c>
      <c r="AD6" s="30">
        <v>6</v>
      </c>
      <c r="AE6" s="30">
        <v>9.5</v>
      </c>
      <c r="AF6" s="30">
        <v>25.5</v>
      </c>
      <c r="AG6" s="30"/>
    </row>
    <row r="7" spans="1:37" s="2" customFormat="1" ht="20.100000000000001" customHeight="1" x14ac:dyDescent="0.2">
      <c r="A7" s="73" t="s">
        <v>122</v>
      </c>
      <c r="B7" s="16">
        <f t="shared" si="1"/>
        <v>8.4</v>
      </c>
      <c r="C7" s="16">
        <v>10</v>
      </c>
      <c r="D7" s="16">
        <v>10</v>
      </c>
      <c r="E7" s="15">
        <f>(25-4.5)/25*10</f>
        <v>8.1999999999999993</v>
      </c>
      <c r="F7" s="16">
        <v>10</v>
      </c>
      <c r="G7" s="16">
        <v>10</v>
      </c>
      <c r="H7" s="15">
        <f t="shared" si="7"/>
        <v>4.8458333333333332</v>
      </c>
      <c r="I7" s="15">
        <f t="shared" si="8"/>
        <v>8.695652173913043</v>
      </c>
      <c r="J7" s="15">
        <f t="shared" si="9"/>
        <v>8.3641025641025646</v>
      </c>
      <c r="K7" s="15"/>
      <c r="L7" s="15"/>
      <c r="M7" s="16"/>
      <c r="N7" s="16"/>
      <c r="O7" s="15"/>
      <c r="P7" s="15"/>
      <c r="Q7" s="70">
        <v>0</v>
      </c>
      <c r="R7" s="16">
        <f t="shared" si="2"/>
        <v>9.1666666666666661</v>
      </c>
      <c r="S7" s="78">
        <f t="shared" si="3"/>
        <v>9</v>
      </c>
      <c r="T7" s="16">
        <v>10.5</v>
      </c>
      <c r="U7" s="16">
        <v>8</v>
      </c>
      <c r="V7" s="16">
        <f t="shared" si="10"/>
        <v>107.17225473801561</v>
      </c>
      <c r="W7" s="37">
        <f t="shared" si="11"/>
        <v>0.8931021228167968</v>
      </c>
      <c r="Y7" s="29" t="str">
        <f t="shared" si="6"/>
        <v>B+</v>
      </c>
      <c r="Z7" s="30"/>
      <c r="AA7" s="31">
        <v>14.25</v>
      </c>
      <c r="AB7" s="30">
        <v>1</v>
      </c>
      <c r="AC7" s="77">
        <v>2</v>
      </c>
      <c r="AD7" s="30">
        <v>6</v>
      </c>
      <c r="AE7" s="30">
        <v>9.5</v>
      </c>
      <c r="AF7" s="30">
        <v>30.5</v>
      </c>
      <c r="AG7" s="30"/>
      <c r="AK7" s="26">
        <f>1/2.5</f>
        <v>0.4</v>
      </c>
    </row>
    <row r="8" spans="1:37" s="2" customFormat="1" ht="20.100000000000001" customHeight="1" x14ac:dyDescent="0.2">
      <c r="A8" s="20" t="s">
        <v>121</v>
      </c>
      <c r="B8" s="16">
        <f t="shared" si="1"/>
        <v>8.5500000000000007</v>
      </c>
      <c r="C8" s="16">
        <v>10</v>
      </c>
      <c r="D8" s="16">
        <v>10</v>
      </c>
      <c r="E8" s="15">
        <f>(25-6)/25*10</f>
        <v>7.6</v>
      </c>
      <c r="F8" s="16">
        <v>10</v>
      </c>
      <c r="G8" s="16">
        <v>10</v>
      </c>
      <c r="H8" s="15">
        <f t="shared" si="7"/>
        <v>6.3041666666666663</v>
      </c>
      <c r="I8" s="81">
        <v>0</v>
      </c>
      <c r="J8" s="15">
        <f t="shared" si="9"/>
        <v>9.5179487179487197</v>
      </c>
      <c r="K8" s="15"/>
      <c r="L8" s="15"/>
      <c r="M8" s="16"/>
      <c r="N8" s="16"/>
      <c r="O8" s="15"/>
      <c r="P8" s="15"/>
      <c r="Q8" s="70">
        <v>1</v>
      </c>
      <c r="R8" s="16">
        <f t="shared" si="2"/>
        <v>0.83333333333333326</v>
      </c>
      <c r="S8" s="16">
        <f t="shared" si="3"/>
        <v>2.75</v>
      </c>
      <c r="T8" s="16">
        <v>8</v>
      </c>
      <c r="U8" s="16">
        <v>6</v>
      </c>
      <c r="V8" s="16">
        <f t="shared" ref="V8:V17" si="12">SUM(B8:U8)-MIN(R8:U8)</f>
        <v>89.722115384615392</v>
      </c>
      <c r="W8" s="37">
        <f t="shared" ref="W8:W17" si="13">V8/$V$3</f>
        <v>0.74768429487179489</v>
      </c>
      <c r="Y8" s="29" t="str">
        <f t="shared" si="6"/>
        <v>C</v>
      </c>
      <c r="Z8" s="30"/>
      <c r="AA8" s="31">
        <v>13.5</v>
      </c>
      <c r="AB8" s="30">
        <v>11</v>
      </c>
      <c r="AC8" s="30">
        <v>14.5</v>
      </c>
      <c r="AD8" s="30"/>
      <c r="AE8" s="30">
        <v>5</v>
      </c>
      <c r="AF8" s="30">
        <v>23.5</v>
      </c>
      <c r="AG8" s="30"/>
    </row>
    <row r="9" spans="1:37" s="2" customFormat="1" ht="20.100000000000001" customHeight="1" x14ac:dyDescent="0.2">
      <c r="A9" s="20" t="s">
        <v>120</v>
      </c>
      <c r="B9" s="16">
        <f t="shared" si="1"/>
        <v>10</v>
      </c>
      <c r="C9" s="16">
        <v>10</v>
      </c>
      <c r="D9" s="16">
        <v>10</v>
      </c>
      <c r="E9" s="78">
        <v>0</v>
      </c>
      <c r="F9" s="16">
        <v>10</v>
      </c>
      <c r="G9" s="16">
        <v>10</v>
      </c>
      <c r="H9" s="15">
        <f t="shared" si="7"/>
        <v>6.9708333333333332</v>
      </c>
      <c r="I9" s="15">
        <f t="shared" ref="I9:I14" si="14">(AD$3-AD9)/AD$3*10</f>
        <v>9.1304347826086953</v>
      </c>
      <c r="J9" s="15">
        <f t="shared" ref="J9:J19" si="15">(AE$3-AE9)/AE$3*10+AE$2</f>
        <v>9.5179487179487197</v>
      </c>
      <c r="K9" s="15"/>
      <c r="L9" s="15"/>
      <c r="M9" s="16"/>
      <c r="N9" s="16"/>
      <c r="O9" s="15"/>
      <c r="P9" s="15"/>
      <c r="Q9" s="70">
        <v>1</v>
      </c>
      <c r="R9" s="16">
        <f t="shared" si="2"/>
        <v>5.8333333333333339</v>
      </c>
      <c r="S9" s="16">
        <f t="shared" si="3"/>
        <v>6</v>
      </c>
      <c r="T9" s="16">
        <v>10.5</v>
      </c>
      <c r="U9" s="16">
        <v>6</v>
      </c>
      <c r="V9" s="16">
        <f t="shared" si="12"/>
        <v>99.119216833890732</v>
      </c>
      <c r="W9" s="37">
        <f t="shared" si="13"/>
        <v>0.82599347361575615</v>
      </c>
      <c r="X9" s="26"/>
      <c r="Y9" s="29" t="str">
        <f t="shared" si="6"/>
        <v>B</v>
      </c>
      <c r="Z9" s="30"/>
      <c r="AA9" s="31">
        <v>6.25</v>
      </c>
      <c r="AB9" s="30">
        <v>5</v>
      </c>
      <c r="AC9" s="30">
        <v>8</v>
      </c>
      <c r="AD9" s="30">
        <v>4</v>
      </c>
      <c r="AE9" s="30">
        <v>5</v>
      </c>
      <c r="AF9" s="30">
        <v>20.3</v>
      </c>
      <c r="AG9" s="30"/>
    </row>
    <row r="10" spans="1:37" s="2" customFormat="1" ht="20.100000000000001" customHeight="1" x14ac:dyDescent="0.2">
      <c r="A10" s="20" t="s">
        <v>65</v>
      </c>
      <c r="B10" s="16">
        <f t="shared" si="1"/>
        <v>7.75</v>
      </c>
      <c r="C10" s="16">
        <v>10</v>
      </c>
      <c r="D10" s="16">
        <v>10</v>
      </c>
      <c r="E10" s="15">
        <f>(25-6)/25*10-1</f>
        <v>6.6</v>
      </c>
      <c r="F10" s="16">
        <v>10</v>
      </c>
      <c r="G10" s="16">
        <v>10</v>
      </c>
      <c r="H10" s="15">
        <f t="shared" si="7"/>
        <v>6.6166666666666663</v>
      </c>
      <c r="I10" s="81">
        <v>0</v>
      </c>
      <c r="J10" s="15">
        <f t="shared" si="15"/>
        <v>9.5179487179487197</v>
      </c>
      <c r="K10" s="15"/>
      <c r="L10" s="15"/>
      <c r="M10" s="15"/>
      <c r="N10" s="16"/>
      <c r="O10" s="15"/>
      <c r="P10" s="15"/>
      <c r="Q10" s="70">
        <v>0</v>
      </c>
      <c r="R10" s="16">
        <f t="shared" si="2"/>
        <v>7.5</v>
      </c>
      <c r="S10" s="78">
        <f t="shared" si="3"/>
        <v>8</v>
      </c>
      <c r="T10" s="16">
        <v>7.5</v>
      </c>
      <c r="U10" s="16">
        <v>2.5</v>
      </c>
      <c r="V10" s="16">
        <f t="shared" si="12"/>
        <v>93.484615384615381</v>
      </c>
      <c r="W10" s="37">
        <f t="shared" si="13"/>
        <v>0.77903846153846146</v>
      </c>
      <c r="X10" s="26"/>
      <c r="Y10" s="29" t="str">
        <f t="shared" si="6"/>
        <v>C+</v>
      </c>
      <c r="Z10" s="30"/>
      <c r="AA10" s="31">
        <v>17.5</v>
      </c>
      <c r="AB10" s="30">
        <v>3</v>
      </c>
      <c r="AC10" s="30">
        <v>4</v>
      </c>
      <c r="AD10" s="30"/>
      <c r="AE10" s="30">
        <v>5</v>
      </c>
      <c r="AF10" s="30">
        <v>22</v>
      </c>
      <c r="AG10" s="30"/>
    </row>
    <row r="11" spans="1:37" s="2" customFormat="1" ht="20.100000000000001" customHeight="1" x14ac:dyDescent="0.2">
      <c r="A11" s="20" t="s">
        <v>119</v>
      </c>
      <c r="B11" s="16">
        <f t="shared" si="1"/>
        <v>9.65</v>
      </c>
      <c r="C11" s="16">
        <v>10</v>
      </c>
      <c r="D11" s="16">
        <v>10</v>
      </c>
      <c r="E11" s="15">
        <f>(25-6)/25*10</f>
        <v>7.6</v>
      </c>
      <c r="F11" s="16">
        <v>10</v>
      </c>
      <c r="G11" s="16">
        <v>10</v>
      </c>
      <c r="H11" s="15">
        <f t="shared" si="7"/>
        <v>7.0333333333333341</v>
      </c>
      <c r="I11" s="15">
        <f t="shared" si="14"/>
        <v>8.75</v>
      </c>
      <c r="J11" s="15">
        <f t="shared" si="15"/>
        <v>9.2615384615384624</v>
      </c>
      <c r="K11" s="15"/>
      <c r="L11" s="15"/>
      <c r="M11" s="16"/>
      <c r="N11" s="16"/>
      <c r="O11" s="15"/>
      <c r="P11" s="15"/>
      <c r="Q11" s="70">
        <v>1</v>
      </c>
      <c r="R11" s="16">
        <f t="shared" si="2"/>
        <v>7.5</v>
      </c>
      <c r="S11" s="16">
        <f t="shared" si="3"/>
        <v>6</v>
      </c>
      <c r="T11" s="16">
        <v>8</v>
      </c>
      <c r="U11" s="16">
        <v>8.25</v>
      </c>
      <c r="V11" s="16">
        <f t="shared" si="12"/>
        <v>107.0448717948718</v>
      </c>
      <c r="W11" s="37">
        <f t="shared" si="13"/>
        <v>0.89204059829059834</v>
      </c>
      <c r="X11" s="26"/>
      <c r="Y11" s="29" t="str">
        <f t="shared" ref="Y11" si="16">IF(W11&gt;0.894,"A",IF(W11&gt;0.864,"B+",IF(W11&gt;0.794,"B",IF(W11&gt;0.764,"C+",IF(W11&gt;0.694,"C",IF(W11&gt;0.594,"D","F"))))))</f>
        <v>B+</v>
      </c>
      <c r="Z11" s="30"/>
      <c r="AA11" s="31">
        <v>8</v>
      </c>
      <c r="AB11" s="30">
        <v>3</v>
      </c>
      <c r="AC11" s="30">
        <v>8</v>
      </c>
      <c r="AD11" s="30">
        <v>5.75</v>
      </c>
      <c r="AE11" s="30">
        <v>6</v>
      </c>
      <c r="AF11" s="30">
        <v>20</v>
      </c>
      <c r="AG11" s="30"/>
    </row>
    <row r="12" spans="1:37" s="2" customFormat="1" ht="20.100000000000001" customHeight="1" x14ac:dyDescent="0.2">
      <c r="A12" s="20" t="s">
        <v>118</v>
      </c>
      <c r="B12" s="16">
        <f t="shared" si="1"/>
        <v>8.25</v>
      </c>
      <c r="C12" s="16">
        <v>10</v>
      </c>
      <c r="D12" s="16">
        <v>10</v>
      </c>
      <c r="E12" s="15">
        <f>(25-4.5)/25*10</f>
        <v>8.1999999999999993</v>
      </c>
      <c r="F12" s="16">
        <v>10</v>
      </c>
      <c r="G12" s="16">
        <v>10</v>
      </c>
      <c r="H12" s="15">
        <f t="shared" si="7"/>
        <v>4.6375000000000002</v>
      </c>
      <c r="I12" s="15">
        <f t="shared" si="14"/>
        <v>8.4782608695652169</v>
      </c>
      <c r="J12" s="15">
        <f t="shared" si="15"/>
        <v>8.3641025641025646</v>
      </c>
      <c r="K12" s="15"/>
      <c r="L12" s="15"/>
      <c r="M12" s="16"/>
      <c r="N12" s="15"/>
      <c r="O12" s="15"/>
      <c r="P12" s="15"/>
      <c r="Q12" s="70">
        <v>1</v>
      </c>
      <c r="R12" s="16">
        <f t="shared" si="2"/>
        <v>8.3333333333333339</v>
      </c>
      <c r="S12" s="78">
        <f t="shared" si="3"/>
        <v>9.5</v>
      </c>
      <c r="T12" s="16">
        <v>10</v>
      </c>
      <c r="U12" s="16">
        <v>7.5</v>
      </c>
      <c r="V12" s="16">
        <f t="shared" si="12"/>
        <v>106.76319676700112</v>
      </c>
      <c r="W12" s="37">
        <f t="shared" si="13"/>
        <v>0.88969330639167599</v>
      </c>
      <c r="X12" s="26"/>
      <c r="Y12" s="29" t="str">
        <f t="shared" si="6"/>
        <v>B+</v>
      </c>
      <c r="Z12" s="30"/>
      <c r="AA12" s="31">
        <v>15</v>
      </c>
      <c r="AB12" s="30">
        <v>2</v>
      </c>
      <c r="AC12" s="77">
        <v>1</v>
      </c>
      <c r="AD12" s="30">
        <v>7</v>
      </c>
      <c r="AE12" s="30">
        <v>9.5</v>
      </c>
      <c r="AF12" s="30">
        <v>31.5</v>
      </c>
      <c r="AG12" s="30"/>
    </row>
    <row r="13" spans="1:37" s="2" customFormat="1" ht="20.100000000000001" customHeight="1" x14ac:dyDescent="0.2">
      <c r="A13" s="20" t="s">
        <v>117</v>
      </c>
      <c r="B13" s="16">
        <f t="shared" si="1"/>
        <v>9.3000000000000007</v>
      </c>
      <c r="C13" s="16">
        <v>10</v>
      </c>
      <c r="D13" s="16">
        <v>10</v>
      </c>
      <c r="E13" s="15">
        <f>(25-3)/25*10</f>
        <v>8.8000000000000007</v>
      </c>
      <c r="F13" s="74">
        <v>0</v>
      </c>
      <c r="G13" s="16">
        <v>10</v>
      </c>
      <c r="H13" s="15">
        <f t="shared" si="7"/>
        <v>8.6999999999999993</v>
      </c>
      <c r="I13" s="15">
        <f t="shared" si="14"/>
        <v>9.5652173913043477</v>
      </c>
      <c r="J13" s="15">
        <f t="shared" si="15"/>
        <v>9.2615384615384624</v>
      </c>
      <c r="K13" s="15"/>
      <c r="L13" s="15"/>
      <c r="M13" s="16"/>
      <c r="N13" s="16"/>
      <c r="O13" s="15"/>
      <c r="P13" s="15"/>
      <c r="Q13" s="70">
        <v>1</v>
      </c>
      <c r="R13" s="16">
        <f t="shared" si="2"/>
        <v>5.8333333333333339</v>
      </c>
      <c r="S13" s="16">
        <f t="shared" si="3"/>
        <v>6.25</v>
      </c>
      <c r="T13" s="16">
        <v>5</v>
      </c>
      <c r="U13" s="78">
        <v>8</v>
      </c>
      <c r="V13" s="16">
        <f t="shared" si="12"/>
        <v>96.710089186176134</v>
      </c>
      <c r="W13" s="37">
        <f t="shared" si="13"/>
        <v>0.80591740988480109</v>
      </c>
      <c r="X13" s="26"/>
      <c r="Y13" s="29" t="str">
        <f t="shared" si="6"/>
        <v>B</v>
      </c>
      <c r="Z13" s="30"/>
      <c r="AA13" s="31">
        <v>9.75</v>
      </c>
      <c r="AB13" s="30">
        <v>5</v>
      </c>
      <c r="AC13" s="30">
        <v>7.5</v>
      </c>
      <c r="AD13" s="30">
        <v>2</v>
      </c>
      <c r="AE13" s="30">
        <v>6</v>
      </c>
      <c r="AF13" s="30">
        <v>12</v>
      </c>
      <c r="AG13" s="30"/>
    </row>
    <row r="14" spans="1:37" s="2" customFormat="1" ht="34.5" customHeight="1" x14ac:dyDescent="0.2">
      <c r="A14" s="73" t="s">
        <v>127</v>
      </c>
      <c r="B14" s="16">
        <f t="shared" si="1"/>
        <v>9.5500000000000007</v>
      </c>
      <c r="C14" s="16">
        <v>10</v>
      </c>
      <c r="D14" s="16">
        <v>10</v>
      </c>
      <c r="E14" s="15">
        <f>(25-3)/25*10</f>
        <v>8.8000000000000007</v>
      </c>
      <c r="F14" s="16">
        <v>10</v>
      </c>
      <c r="G14" s="16">
        <v>10</v>
      </c>
      <c r="H14" s="15">
        <f t="shared" si="7"/>
        <v>9.9499999999999993</v>
      </c>
      <c r="I14" s="15">
        <f t="shared" si="14"/>
        <v>9.2391304347826093</v>
      </c>
      <c r="J14" s="15">
        <f t="shared" si="15"/>
        <v>8.7487179487179478</v>
      </c>
      <c r="K14" s="15"/>
      <c r="L14" s="15"/>
      <c r="M14" s="16"/>
      <c r="N14" s="16"/>
      <c r="O14" s="15"/>
      <c r="P14" s="15"/>
      <c r="Q14" s="70">
        <v>1</v>
      </c>
      <c r="R14" s="16">
        <f t="shared" si="2"/>
        <v>9.1666666666666661</v>
      </c>
      <c r="S14" s="16">
        <f t="shared" si="3"/>
        <v>9.5</v>
      </c>
      <c r="T14" s="16">
        <v>8</v>
      </c>
      <c r="U14" s="16">
        <v>8.75</v>
      </c>
      <c r="V14" s="16">
        <f t="shared" si="12"/>
        <v>114.70451505016723</v>
      </c>
      <c r="W14" s="37">
        <f t="shared" si="13"/>
        <v>0.95587095875139361</v>
      </c>
      <c r="Y14" s="29" t="str">
        <f t="shared" ref="Y14" si="17">IF(W14&gt;0.894,"A",IF(W14&gt;0.864,"B+",IF(W14&gt;0.794,"B",IF(W14&gt;0.764,"C+",IF(W14&gt;0.694,"C",IF(W14&gt;0.594,"D","F"))))))</f>
        <v>A</v>
      </c>
      <c r="Z14" s="30"/>
      <c r="AA14" s="31">
        <v>8.5</v>
      </c>
      <c r="AB14" s="30">
        <v>1</v>
      </c>
      <c r="AC14" s="30">
        <v>1</v>
      </c>
      <c r="AD14" s="30">
        <v>3.5</v>
      </c>
      <c r="AE14" s="30">
        <v>8</v>
      </c>
      <c r="AF14" s="30">
        <v>6</v>
      </c>
      <c r="AG14" s="30"/>
    </row>
    <row r="15" spans="1:37" s="2" customFormat="1" ht="20.100000000000001" customHeight="1" x14ac:dyDescent="0.2">
      <c r="A15" s="20" t="s">
        <v>116</v>
      </c>
      <c r="B15" s="16">
        <f t="shared" si="1"/>
        <v>8.9499999999999993</v>
      </c>
      <c r="C15" s="16">
        <v>10</v>
      </c>
      <c r="D15" s="16">
        <v>10</v>
      </c>
      <c r="E15" s="15">
        <f>(25-3)/25*10</f>
        <v>8.8000000000000007</v>
      </c>
      <c r="F15" s="16">
        <v>10</v>
      </c>
      <c r="G15" s="16">
        <v>10</v>
      </c>
      <c r="H15" s="15">
        <f t="shared" si="7"/>
        <v>7.6583333333333341</v>
      </c>
      <c r="I15" s="81">
        <f>(81-49)/49*10-2</f>
        <v>4.5306122448979584</v>
      </c>
      <c r="J15" s="15">
        <f t="shared" si="15"/>
        <v>8.7487179487179478</v>
      </c>
      <c r="K15" s="15"/>
      <c r="L15" s="15"/>
      <c r="M15" s="16"/>
      <c r="N15" s="16"/>
      <c r="O15" s="15"/>
      <c r="P15" s="15"/>
      <c r="Q15" s="70">
        <v>1</v>
      </c>
      <c r="R15" s="16">
        <f t="shared" si="2"/>
        <v>10</v>
      </c>
      <c r="S15" s="16">
        <f t="shared" si="3"/>
        <v>7</v>
      </c>
      <c r="T15" s="16">
        <v>10.5</v>
      </c>
      <c r="U15" s="16">
        <v>8.5</v>
      </c>
      <c r="V15" s="16">
        <f t="shared" si="12"/>
        <v>108.68766352694924</v>
      </c>
      <c r="W15" s="37">
        <f t="shared" si="13"/>
        <v>0.90573052939124366</v>
      </c>
      <c r="X15" s="26"/>
      <c r="Y15" s="29" t="str">
        <f t="shared" si="6"/>
        <v>A</v>
      </c>
      <c r="Z15" s="30"/>
      <c r="AA15" s="31">
        <v>11.5</v>
      </c>
      <c r="AB15" s="30">
        <v>0</v>
      </c>
      <c r="AC15" s="30">
        <v>6</v>
      </c>
      <c r="AD15" s="30"/>
      <c r="AE15" s="30">
        <v>8</v>
      </c>
      <c r="AF15" s="30">
        <v>17</v>
      </c>
      <c r="AG15" s="30"/>
    </row>
    <row r="16" spans="1:37" s="2" customFormat="1" ht="20.100000000000001" customHeight="1" x14ac:dyDescent="0.2">
      <c r="A16" s="20" t="s">
        <v>124</v>
      </c>
      <c r="B16" s="16">
        <f t="shared" si="1"/>
        <v>9.15</v>
      </c>
      <c r="C16" s="16">
        <v>10</v>
      </c>
      <c r="D16" s="16">
        <v>10</v>
      </c>
      <c r="E16" s="78">
        <f>(11/23)*10-2</f>
        <v>2.7826086956521738</v>
      </c>
      <c r="F16" s="16">
        <v>10</v>
      </c>
      <c r="G16" s="16">
        <v>10</v>
      </c>
      <c r="H16" s="15">
        <f t="shared" si="7"/>
        <v>7.6583333333333341</v>
      </c>
      <c r="I16" s="15">
        <f t="shared" ref="I16:I19" si="18">(AD$3-AD16)/AD$3*10</f>
        <v>9.4565217391304337</v>
      </c>
      <c r="J16" s="15">
        <f t="shared" si="15"/>
        <v>9.2615384615384624</v>
      </c>
      <c r="K16" s="15"/>
      <c r="L16" s="15"/>
      <c r="M16" s="16"/>
      <c r="N16" s="16"/>
      <c r="O16" s="15"/>
      <c r="P16" s="15"/>
      <c r="Q16" s="70">
        <v>1</v>
      </c>
      <c r="R16" s="16">
        <f t="shared" si="2"/>
        <v>5</v>
      </c>
      <c r="S16" s="16">
        <f t="shared" si="3"/>
        <v>6</v>
      </c>
      <c r="T16" s="16">
        <v>8</v>
      </c>
      <c r="U16" s="78">
        <v>8.75</v>
      </c>
      <c r="V16" s="16">
        <f t="shared" si="12"/>
        <v>102.0590022296544</v>
      </c>
      <c r="W16" s="37">
        <f t="shared" si="13"/>
        <v>0.85049168524711993</v>
      </c>
      <c r="X16" s="26"/>
      <c r="Y16" s="29" t="str">
        <f t="shared" si="6"/>
        <v>B</v>
      </c>
      <c r="Z16" s="30"/>
      <c r="AA16" s="31">
        <v>10.5</v>
      </c>
      <c r="AB16" s="30">
        <v>6</v>
      </c>
      <c r="AC16" s="30">
        <v>8</v>
      </c>
      <c r="AD16" s="30">
        <v>2.5</v>
      </c>
      <c r="AE16" s="30">
        <v>6</v>
      </c>
      <c r="AF16" s="30">
        <v>17</v>
      </c>
      <c r="AG16" s="30"/>
    </row>
    <row r="17" spans="1:33" s="2" customFormat="1" ht="20.100000000000001" customHeight="1" x14ac:dyDescent="0.2">
      <c r="A17" s="20" t="s">
        <v>79</v>
      </c>
      <c r="B17" s="16">
        <v>9.8000000000000007</v>
      </c>
      <c r="C17" s="16">
        <v>10</v>
      </c>
      <c r="D17" s="16">
        <v>10</v>
      </c>
      <c r="E17" s="15">
        <f>(25-6)/25*10</f>
        <v>7.6</v>
      </c>
      <c r="F17" s="16">
        <v>10</v>
      </c>
      <c r="G17" s="16">
        <v>10</v>
      </c>
      <c r="H17" s="15">
        <f t="shared" si="7"/>
        <v>7.3458333333333341</v>
      </c>
      <c r="I17" s="15">
        <f t="shared" si="18"/>
        <v>9.1304347826086953</v>
      </c>
      <c r="J17" s="15">
        <f t="shared" si="15"/>
        <v>9.5179487179487197</v>
      </c>
      <c r="K17" s="15"/>
      <c r="L17" s="15"/>
      <c r="M17" s="16"/>
      <c r="N17" s="16"/>
      <c r="O17" s="15"/>
      <c r="P17" s="15"/>
      <c r="Q17" s="70">
        <v>1</v>
      </c>
      <c r="R17" s="78">
        <f t="shared" si="2"/>
        <v>8.3333333333333339</v>
      </c>
      <c r="S17" s="16">
        <f t="shared" si="3"/>
        <v>7.75</v>
      </c>
      <c r="T17" s="16">
        <v>9</v>
      </c>
      <c r="U17" s="16">
        <v>6.5</v>
      </c>
      <c r="V17" s="16">
        <f t="shared" si="12"/>
        <v>109.47755016722407</v>
      </c>
      <c r="W17" s="37">
        <f t="shared" si="13"/>
        <v>0.91231291806020054</v>
      </c>
      <c r="X17" s="26"/>
      <c r="Y17" s="29" t="str">
        <f t="shared" ref="Y17:Y18" si="19">IF(W17&gt;0.894,"A",IF(W17&gt;0.864,"B+",IF(W17&gt;0.794,"B",IF(W17&gt;0.764,"C+",IF(W17&gt;0.694,"C",IF(W17&gt;0.594,"D","F"))))))</f>
        <v>A</v>
      </c>
      <c r="Z17" s="30"/>
      <c r="AA17" s="31">
        <v>4.75</v>
      </c>
      <c r="AB17" s="77">
        <v>2</v>
      </c>
      <c r="AC17" s="30">
        <v>4.5</v>
      </c>
      <c r="AD17" s="30">
        <v>4</v>
      </c>
      <c r="AE17" s="30">
        <v>5</v>
      </c>
      <c r="AF17" s="30">
        <v>18.5</v>
      </c>
      <c r="AG17" s="30"/>
    </row>
    <row r="18" spans="1:33" s="2" customFormat="1" ht="20.100000000000001" customHeight="1" x14ac:dyDescent="0.2">
      <c r="A18" s="20" t="s">
        <v>115</v>
      </c>
      <c r="B18" s="16">
        <f>10*(AA$3-AA18+AA$2)/50</f>
        <v>8.5</v>
      </c>
      <c r="C18" s="16">
        <v>10</v>
      </c>
      <c r="D18" s="16">
        <v>10</v>
      </c>
      <c r="E18" s="15">
        <f>(25-4.5)/25*10</f>
        <v>8.1999999999999993</v>
      </c>
      <c r="F18" s="16">
        <v>10</v>
      </c>
      <c r="G18" s="16">
        <v>10</v>
      </c>
      <c r="H18" s="15">
        <f t="shared" si="7"/>
        <v>5.0541666666666671</v>
      </c>
      <c r="I18" s="15">
        <f t="shared" si="18"/>
        <v>8.1521739130434785</v>
      </c>
      <c r="J18" s="15">
        <f t="shared" si="15"/>
        <v>8.3641025641025646</v>
      </c>
      <c r="K18" s="15"/>
      <c r="L18" s="15"/>
      <c r="M18" s="16"/>
      <c r="N18" s="16"/>
      <c r="O18" s="15"/>
      <c r="P18" s="15"/>
      <c r="Q18" s="70">
        <v>1</v>
      </c>
      <c r="R18" s="78">
        <f t="shared" si="2"/>
        <v>7.5</v>
      </c>
      <c r="S18" s="78">
        <f t="shared" si="3"/>
        <v>9.5</v>
      </c>
      <c r="T18" s="16">
        <v>5.5</v>
      </c>
      <c r="U18" s="16">
        <v>8.75</v>
      </c>
      <c r="V18" s="16">
        <f t="shared" ref="V18" si="20">SUM(B18:U18)-MIN(R18:U18)</f>
        <v>105.02044314381271</v>
      </c>
      <c r="W18" s="37">
        <f t="shared" ref="W18" si="21">V18/$V$3</f>
        <v>0.87517035953177258</v>
      </c>
      <c r="X18" s="26"/>
      <c r="Y18" s="29" t="str">
        <f t="shared" si="19"/>
        <v>B+</v>
      </c>
      <c r="Z18" s="30"/>
      <c r="AA18" s="31">
        <v>13.75</v>
      </c>
      <c r="AB18" s="77">
        <v>3</v>
      </c>
      <c r="AC18" s="77">
        <v>1</v>
      </c>
      <c r="AD18" s="30">
        <v>8.5</v>
      </c>
      <c r="AE18" s="30">
        <v>9.5</v>
      </c>
      <c r="AF18" s="30">
        <v>29.5</v>
      </c>
      <c r="AG18" s="30"/>
    </row>
    <row r="19" spans="1:33" s="2" customFormat="1" ht="20.100000000000001" customHeight="1" x14ac:dyDescent="0.2">
      <c r="A19" s="20" t="s">
        <v>114</v>
      </c>
      <c r="B19" s="16">
        <f>10*(AA$3-AA19+AA$2)/50</f>
        <v>9.9</v>
      </c>
      <c r="C19" s="16">
        <v>10</v>
      </c>
      <c r="D19" s="16">
        <v>10</v>
      </c>
      <c r="E19" s="15">
        <f>(25-6)/25*10-1</f>
        <v>6.6</v>
      </c>
      <c r="F19" s="16">
        <v>10</v>
      </c>
      <c r="G19" s="74">
        <v>0</v>
      </c>
      <c r="H19" s="15">
        <f t="shared" si="7"/>
        <v>8.0749999999999993</v>
      </c>
      <c r="I19" s="15">
        <f t="shared" si="18"/>
        <v>8.695652173913043</v>
      </c>
      <c r="J19" s="15">
        <f t="shared" si="15"/>
        <v>9.2615384615384624</v>
      </c>
      <c r="K19" s="15"/>
      <c r="L19" s="15"/>
      <c r="M19" s="16"/>
      <c r="N19" s="16"/>
      <c r="O19" s="15"/>
      <c r="P19" s="15"/>
      <c r="Q19" s="70">
        <v>1</v>
      </c>
      <c r="R19" s="16">
        <f t="shared" si="2"/>
        <v>0</v>
      </c>
      <c r="S19" s="16">
        <f t="shared" si="3"/>
        <v>6.25</v>
      </c>
      <c r="T19" s="74">
        <v>0</v>
      </c>
      <c r="U19" s="16">
        <v>6</v>
      </c>
      <c r="V19" s="1">
        <f t="shared" si="10"/>
        <v>85.782190635451514</v>
      </c>
      <c r="W19" s="4">
        <f t="shared" si="11"/>
        <v>0.71485158862876264</v>
      </c>
      <c r="Y19" s="3" t="str">
        <f t="shared" si="6"/>
        <v>C</v>
      </c>
      <c r="Z19" s="30"/>
      <c r="AA19" s="31">
        <v>6.75</v>
      </c>
      <c r="AB19" s="30">
        <v>12</v>
      </c>
      <c r="AC19" s="30">
        <v>7.5</v>
      </c>
      <c r="AD19" s="30">
        <v>6</v>
      </c>
      <c r="AE19" s="30">
        <v>6</v>
      </c>
      <c r="AF19" s="30">
        <v>15</v>
      </c>
      <c r="AG19" s="30"/>
    </row>
    <row r="20" spans="1:33" s="2" customFormat="1" ht="20.100000000000001" customHeight="1" x14ac:dyDescent="0.2">
      <c r="A20" s="20"/>
      <c r="B20" s="16"/>
      <c r="C20" s="16"/>
      <c r="D20" s="16"/>
      <c r="E20" s="16"/>
      <c r="F20" s="16"/>
      <c r="G20" s="16"/>
      <c r="H20" s="16"/>
      <c r="I20" s="15"/>
      <c r="J20" s="16"/>
      <c r="K20" s="15"/>
      <c r="L20" s="15"/>
      <c r="M20" s="16"/>
      <c r="N20" s="16"/>
      <c r="O20" s="15"/>
      <c r="P20" s="15"/>
      <c r="Q20" s="15"/>
      <c r="R20" s="15"/>
      <c r="S20" s="15"/>
      <c r="T20" s="16"/>
      <c r="U20" s="16"/>
      <c r="V20" s="1"/>
      <c r="W20" s="4"/>
      <c r="Z20" s="3"/>
      <c r="AA20" s="5"/>
    </row>
    <row r="21" spans="1:33" s="2" customFormat="1" ht="20.100000000000001" customHeight="1" thickBot="1" x14ac:dyDescent="0.25">
      <c r="A21" s="17" t="s">
        <v>8</v>
      </c>
      <c r="B21" s="7"/>
      <c r="C21" s="7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8"/>
      <c r="W21" s="9"/>
      <c r="Y21" s="26" t="s">
        <v>49</v>
      </c>
      <c r="Z21" s="3"/>
    </row>
    <row r="22" spans="1:33" x14ac:dyDescent="0.2">
      <c r="I22" s="44"/>
    </row>
    <row r="23" spans="1:33" x14ac:dyDescent="0.2">
      <c r="I23" s="44"/>
      <c r="AD23" s="19"/>
    </row>
    <row r="24" spans="1:33" x14ac:dyDescent="0.2">
      <c r="A24" s="39" t="s">
        <v>26</v>
      </c>
      <c r="B24" s="27">
        <f>MAX(B5:B19)</f>
        <v>10</v>
      </c>
      <c r="C24" s="27">
        <f>MAX(C5:C19)</f>
        <v>10</v>
      </c>
      <c r="D24" s="27">
        <f>MAX(D5:D19)</f>
        <v>10</v>
      </c>
      <c r="E24" s="27">
        <f>MAX(E5:E19)</f>
        <v>8.8000000000000007</v>
      </c>
      <c r="F24" s="27">
        <f t="shared" ref="F24:N24" si="22">MAX(F5:F19)</f>
        <v>10</v>
      </c>
      <c r="G24" s="27">
        <f t="shared" si="22"/>
        <v>10</v>
      </c>
      <c r="H24" s="27">
        <f t="shared" si="22"/>
        <v>9.9499999999999993</v>
      </c>
      <c r="I24" s="27">
        <f t="shared" si="22"/>
        <v>9.5652173913043477</v>
      </c>
      <c r="J24" s="27">
        <f t="shared" si="22"/>
        <v>9.5179487179487197</v>
      </c>
      <c r="K24" s="27">
        <f t="shared" si="22"/>
        <v>0</v>
      </c>
      <c r="L24" s="27">
        <f t="shared" si="22"/>
        <v>0</v>
      </c>
      <c r="M24" s="27">
        <f t="shared" si="22"/>
        <v>0</v>
      </c>
      <c r="N24" s="27">
        <f t="shared" si="22"/>
        <v>0</v>
      </c>
      <c r="O24" s="27"/>
      <c r="P24" s="27"/>
      <c r="Q24" s="27"/>
      <c r="R24" s="27">
        <f t="shared" ref="R24:U24" si="23">MAX(R5:R19)</f>
        <v>10</v>
      </c>
      <c r="S24" s="27">
        <f t="shared" si="23"/>
        <v>9.75</v>
      </c>
      <c r="T24" s="27">
        <f t="shared" si="23"/>
        <v>10.5</v>
      </c>
      <c r="U24" s="27">
        <f t="shared" si="23"/>
        <v>10</v>
      </c>
      <c r="W24" s="27">
        <f>MAX(W5:W19)</f>
        <v>0.96343540969899666</v>
      </c>
      <c r="Z24" s="27">
        <f>MAX(Z5:Z19)</f>
        <v>0</v>
      </c>
    </row>
    <row r="25" spans="1:33" x14ac:dyDescent="0.2">
      <c r="A25" s="39" t="s">
        <v>23</v>
      </c>
      <c r="B25" s="27">
        <f>MIN(B5:B19)</f>
        <v>7.75</v>
      </c>
      <c r="C25" s="27">
        <f>MIN(C5:C19)</f>
        <v>10</v>
      </c>
      <c r="D25" s="27">
        <f>MIN(D5:D19)</f>
        <v>10</v>
      </c>
      <c r="E25" s="27">
        <f>MIN(E5:E19)</f>
        <v>0</v>
      </c>
      <c r="F25" s="27">
        <f t="shared" ref="F25:N25" si="24">MIN(F5:F19)</f>
        <v>0</v>
      </c>
      <c r="G25" s="27">
        <f t="shared" si="24"/>
        <v>0</v>
      </c>
      <c r="H25" s="27">
        <f t="shared" si="24"/>
        <v>4.6375000000000002</v>
      </c>
      <c r="I25" s="27">
        <f t="shared" si="24"/>
        <v>0</v>
      </c>
      <c r="J25" s="27">
        <f t="shared" si="24"/>
        <v>8.3641025641025646</v>
      </c>
      <c r="K25" s="27">
        <f t="shared" si="24"/>
        <v>0</v>
      </c>
      <c r="L25" s="27">
        <f t="shared" si="24"/>
        <v>0</v>
      </c>
      <c r="M25" s="27">
        <f t="shared" si="24"/>
        <v>0</v>
      </c>
      <c r="N25" s="27">
        <f t="shared" si="24"/>
        <v>0</v>
      </c>
      <c r="O25" s="27"/>
      <c r="P25" s="27"/>
      <c r="Q25" s="27"/>
      <c r="R25" s="27">
        <f t="shared" ref="R25:U25" si="25">MIN(R5:R19)</f>
        <v>0</v>
      </c>
      <c r="S25" s="27">
        <f t="shared" si="25"/>
        <v>2.75</v>
      </c>
      <c r="T25" s="27">
        <f t="shared" si="25"/>
        <v>0</v>
      </c>
      <c r="U25" s="27">
        <f t="shared" si="25"/>
        <v>2.5</v>
      </c>
      <c r="W25" s="27">
        <f>MIN(W5:W19)</f>
        <v>0.71485158862876264</v>
      </c>
      <c r="Z25" s="27">
        <f>MIN(Z5:Z19)</f>
        <v>0</v>
      </c>
    </row>
    <row r="26" spans="1:33" x14ac:dyDescent="0.2">
      <c r="A26" s="39" t="s">
        <v>27</v>
      </c>
      <c r="B26" s="27">
        <f>AVERAGE(B5:B19)</f>
        <v>9.0266666666666673</v>
      </c>
      <c r="C26" s="27">
        <f>AVERAGE(C5:C19)</f>
        <v>10</v>
      </c>
      <c r="D26" s="27">
        <f>AVERAGE(D5:D19)</f>
        <v>10</v>
      </c>
      <c r="E26" s="27">
        <f>AVERAGE(E5:E19)</f>
        <v>7.1188405797101435</v>
      </c>
      <c r="F26" s="27">
        <f t="shared" ref="F26:N26" si="26">AVERAGE(F5:F19)</f>
        <v>9.3333333333333339</v>
      </c>
      <c r="G26" s="27">
        <f t="shared" si="26"/>
        <v>9.3333333333333339</v>
      </c>
      <c r="H26" s="27">
        <f t="shared" si="26"/>
        <v>7.0916666666666659</v>
      </c>
      <c r="I26" s="27">
        <f t="shared" si="26"/>
        <v>7.4578379177758052</v>
      </c>
      <c r="J26" s="27">
        <f t="shared" si="26"/>
        <v>8.9965811965811966</v>
      </c>
      <c r="K26" s="27" t="e">
        <f t="shared" si="26"/>
        <v>#DIV/0!</v>
      </c>
      <c r="L26" s="27" t="e">
        <f t="shared" si="26"/>
        <v>#DIV/0!</v>
      </c>
      <c r="M26" s="27" t="e">
        <f t="shared" si="26"/>
        <v>#DIV/0!</v>
      </c>
      <c r="N26" s="27" t="e">
        <f t="shared" si="26"/>
        <v>#DIV/0!</v>
      </c>
      <c r="O26" s="27"/>
      <c r="P26" s="27"/>
      <c r="Q26" s="27"/>
      <c r="R26" s="27">
        <f t="shared" ref="R26:U26" si="27">AVERAGE(R5:R19)</f>
        <v>6.833333333333333</v>
      </c>
      <c r="S26" s="27">
        <f t="shared" si="27"/>
        <v>7.416666666666667</v>
      </c>
      <c r="T26" s="27">
        <f t="shared" si="27"/>
        <v>7.7666666666666666</v>
      </c>
      <c r="U26" s="27">
        <f t="shared" si="27"/>
        <v>7.2833333333333332</v>
      </c>
      <c r="W26" s="27">
        <f>AVERAGE(W5:W19)</f>
        <v>0.85849475670981867</v>
      </c>
      <c r="Z26" s="27" t="e">
        <f>AVERAGE(Z5:Z19)</f>
        <v>#DIV/0!</v>
      </c>
    </row>
    <row r="27" spans="1:33" x14ac:dyDescent="0.2">
      <c r="A27" s="39" t="s">
        <v>28</v>
      </c>
      <c r="B27" s="27">
        <f>_xlfn.STDEV.P(B5:B19)</f>
        <v>0.6485539470408167</v>
      </c>
      <c r="C27" s="27">
        <f>_xlfn.STDEV.P(C5:C19)</f>
        <v>0</v>
      </c>
      <c r="D27" s="27">
        <f>_xlfn.STDEV.P(D5:D19)</f>
        <v>0</v>
      </c>
      <c r="E27" s="27">
        <f>_xlfn.STDEV.P(E5:E19)</f>
        <v>2.4040873966809291</v>
      </c>
      <c r="F27" s="27">
        <f t="shared" ref="F27:N27" si="28">_xlfn.STDEV.P(F5:F19)</f>
        <v>2.4944382578492941</v>
      </c>
      <c r="G27" s="27">
        <f t="shared" si="28"/>
        <v>2.4944382578492941</v>
      </c>
      <c r="H27" s="27">
        <f t="shared" si="28"/>
        <v>1.5587120751868619</v>
      </c>
      <c r="I27" s="27">
        <f t="shared" si="28"/>
        <v>3.1450802617607319</v>
      </c>
      <c r="J27" s="27">
        <f t="shared" si="28"/>
        <v>0.45500279159679252</v>
      </c>
      <c r="K27" s="27" t="e">
        <f t="shared" si="28"/>
        <v>#DIV/0!</v>
      </c>
      <c r="L27" s="27" t="e">
        <f t="shared" si="28"/>
        <v>#DIV/0!</v>
      </c>
      <c r="M27" s="27" t="e">
        <f t="shared" si="28"/>
        <v>#DIV/0!</v>
      </c>
      <c r="N27" s="27" t="e">
        <f t="shared" si="28"/>
        <v>#DIV/0!</v>
      </c>
      <c r="O27" s="27"/>
      <c r="P27" s="27"/>
      <c r="Q27" s="27"/>
      <c r="R27" s="27">
        <f t="shared" ref="R27:U27" si="29">_xlfn.STDEV.P(R5:R19)</f>
        <v>2.857738033247041</v>
      </c>
      <c r="S27" s="27">
        <f t="shared" si="29"/>
        <v>1.8700861536897764</v>
      </c>
      <c r="T27" s="27">
        <f t="shared" si="29"/>
        <v>2.6699979192667715</v>
      </c>
      <c r="U27" s="27">
        <f t="shared" si="29"/>
        <v>1.7908719167551381</v>
      </c>
      <c r="W27" s="27">
        <f>_xlfn.STDEV.P(W5:W19)</f>
        <v>6.9457295501734739E-2</v>
      </c>
      <c r="Z27" s="27" t="e">
        <f>_xlfn.STDEV.P(Z5:Z19)</f>
        <v>#DIV/0!</v>
      </c>
    </row>
    <row r="28" spans="1:33" x14ac:dyDescent="0.2">
      <c r="A28" s="39" t="s">
        <v>30</v>
      </c>
      <c r="B28" s="27">
        <f t="shared" ref="B28:C28" si="30">B26+B27</f>
        <v>9.6752206137074843</v>
      </c>
      <c r="C28" s="27">
        <f t="shared" si="30"/>
        <v>10</v>
      </c>
      <c r="D28" s="27">
        <f t="shared" ref="D28:N28" si="31">D26+D27</f>
        <v>10</v>
      </c>
      <c r="E28" s="27">
        <f t="shared" si="31"/>
        <v>9.5229279763910721</v>
      </c>
      <c r="F28" s="27">
        <f t="shared" si="31"/>
        <v>11.827771591182628</v>
      </c>
      <c r="G28" s="27">
        <f t="shared" si="31"/>
        <v>11.827771591182628</v>
      </c>
      <c r="H28" s="27">
        <f t="shared" si="31"/>
        <v>8.6503787418535278</v>
      </c>
      <c r="I28" s="27">
        <f t="shared" si="31"/>
        <v>10.602918179536537</v>
      </c>
      <c r="J28" s="27">
        <f t="shared" si="31"/>
        <v>9.4515839881779886</v>
      </c>
      <c r="K28" s="27" t="e">
        <f t="shared" si="31"/>
        <v>#DIV/0!</v>
      </c>
      <c r="L28" s="27" t="e">
        <f t="shared" si="31"/>
        <v>#DIV/0!</v>
      </c>
      <c r="M28" s="27" t="e">
        <f t="shared" si="31"/>
        <v>#DIV/0!</v>
      </c>
      <c r="N28" s="27" t="e">
        <f t="shared" si="31"/>
        <v>#DIV/0!</v>
      </c>
      <c r="O28" s="27"/>
      <c r="P28" s="27"/>
      <c r="Q28" s="27"/>
      <c r="R28" s="27">
        <f t="shared" ref="R28:U28" si="32">R26+R27</f>
        <v>9.691071366580374</v>
      </c>
      <c r="S28" s="27">
        <f t="shared" si="32"/>
        <v>9.286752820356444</v>
      </c>
      <c r="T28" s="27">
        <f t="shared" si="32"/>
        <v>10.436664585933439</v>
      </c>
      <c r="U28" s="27">
        <f t="shared" si="32"/>
        <v>9.0742052500884718</v>
      </c>
      <c r="W28" s="27">
        <f t="shared" ref="W28" si="33">W26+W27</f>
        <v>0.92795205221155341</v>
      </c>
      <c r="Z28" s="57" t="e">
        <f>((Z3-Z26+Z27)/48)*10</f>
        <v>#DIV/0!</v>
      </c>
    </row>
    <row r="29" spans="1:33" x14ac:dyDescent="0.2">
      <c r="A29" s="39" t="s">
        <v>29</v>
      </c>
      <c r="B29" s="27">
        <f t="shared" ref="B29:C29" si="34">B26-B27</f>
        <v>8.3781127196258502</v>
      </c>
      <c r="C29" s="27">
        <f t="shared" si="34"/>
        <v>10</v>
      </c>
      <c r="D29" s="27">
        <f t="shared" ref="D29:N29" si="35">D26-D27</f>
        <v>10</v>
      </c>
      <c r="E29" s="27">
        <f t="shared" si="35"/>
        <v>4.7147531830292149</v>
      </c>
      <c r="F29" s="27">
        <f t="shared" si="35"/>
        <v>6.8388950754840394</v>
      </c>
      <c r="G29" s="27">
        <f t="shared" si="35"/>
        <v>6.8388950754840394</v>
      </c>
      <c r="H29" s="27">
        <f t="shared" si="35"/>
        <v>5.532954591479804</v>
      </c>
      <c r="I29" s="27">
        <f t="shared" si="35"/>
        <v>4.3127576560150729</v>
      </c>
      <c r="J29" s="27">
        <f t="shared" si="35"/>
        <v>8.5415784049844046</v>
      </c>
      <c r="K29" s="27" t="e">
        <f t="shared" si="35"/>
        <v>#DIV/0!</v>
      </c>
      <c r="L29" s="27" t="e">
        <f t="shared" si="35"/>
        <v>#DIV/0!</v>
      </c>
      <c r="M29" s="27" t="e">
        <f t="shared" si="35"/>
        <v>#DIV/0!</v>
      </c>
      <c r="N29" s="27" t="e">
        <f t="shared" si="35"/>
        <v>#DIV/0!</v>
      </c>
      <c r="O29" s="27"/>
      <c r="P29" s="27"/>
      <c r="Q29" s="27"/>
      <c r="R29" s="27">
        <f t="shared" ref="R29:U29" si="36">R26-R27</f>
        <v>3.975595300086292</v>
      </c>
      <c r="S29" s="27">
        <f t="shared" si="36"/>
        <v>5.5465805129768908</v>
      </c>
      <c r="T29" s="27">
        <f t="shared" si="36"/>
        <v>5.0966687473998951</v>
      </c>
      <c r="U29" s="27">
        <f t="shared" si="36"/>
        <v>5.4924614165781946</v>
      </c>
      <c r="W29" s="27">
        <f t="shared" ref="W29" si="37">W26-W27</f>
        <v>0.78903746120808393</v>
      </c>
      <c r="Z29" s="27" t="e">
        <f>((Z3-Z26-Z27)/48)*10</f>
        <v>#DIV/0!</v>
      </c>
    </row>
    <row r="30" spans="1:33" x14ac:dyDescent="0.2">
      <c r="A30" s="40"/>
      <c r="B30" s="18"/>
      <c r="C30" s="19"/>
      <c r="I30" s="44"/>
    </row>
    <row r="31" spans="1:33" x14ac:dyDescent="0.2">
      <c r="A31" s="19" t="s">
        <v>41</v>
      </c>
      <c r="B31" s="53">
        <v>42425</v>
      </c>
      <c r="I31" s="44"/>
    </row>
    <row r="32" spans="1:33" x14ac:dyDescent="0.2">
      <c r="A32" s="19" t="s">
        <v>42</v>
      </c>
      <c r="B32" s="53">
        <v>42438</v>
      </c>
      <c r="I32" s="44"/>
      <c r="T32" s="27">
        <f>AVERAGE(R6:T6)</f>
        <v>7.6111111111111116</v>
      </c>
    </row>
    <row r="33" spans="1:9" x14ac:dyDescent="0.2">
      <c r="A33" s="19" t="s">
        <v>44</v>
      </c>
      <c r="B33" s="54" t="s">
        <v>45</v>
      </c>
      <c r="I33" s="44"/>
    </row>
    <row r="34" spans="1:9" x14ac:dyDescent="0.2">
      <c r="A34" s="19" t="s">
        <v>43</v>
      </c>
      <c r="B34" s="53">
        <v>42485</v>
      </c>
      <c r="I34" s="44"/>
    </row>
    <row r="35" spans="1:9" x14ac:dyDescent="0.2">
      <c r="I35" s="44"/>
    </row>
  </sheetData>
  <autoFilter ref="A4:AI21"/>
  <printOptions horizontalCentered="1"/>
  <pageMargins left="0.25" right="0.25" top="1" bottom="1" header="0.5" footer="0.5"/>
  <pageSetup scale="74" orientation="landscape" verticalDpi="300" r:id="rId1"/>
  <headerFooter alignWithMargins="0"/>
  <colBreaks count="1" manualBreakCount="1">
    <brk id="12" max="104857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AJ39"/>
  <sheetViews>
    <sheetView zoomScale="90" zoomScaleNormal="90" zoomScaleSheetLayoutView="90"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K11" sqref="K11"/>
    </sheetView>
  </sheetViews>
  <sheetFormatPr defaultColWidth="9.140625" defaultRowHeight="12.75" x14ac:dyDescent="0.2"/>
  <cols>
    <col min="1" max="1" width="27" style="12" customWidth="1"/>
    <col min="2" max="16" width="9.7109375" style="12" customWidth="1"/>
    <col min="17" max="17" width="9.85546875" style="12" customWidth="1"/>
    <col min="18" max="23" width="9.7109375" style="12" customWidth="1"/>
    <col min="24" max="24" width="3.42578125" style="12" bestFit="1" customWidth="1"/>
    <col min="25" max="26" width="13.28515625" style="12" customWidth="1"/>
    <col min="27" max="27" width="9.85546875" style="12" customWidth="1"/>
    <col min="28" max="16384" width="9.140625" style="12"/>
  </cols>
  <sheetData>
    <row r="1" spans="1:36" ht="39.75" customHeight="1" x14ac:dyDescent="0.2">
      <c r="A1" s="22" t="s">
        <v>17</v>
      </c>
      <c r="B1" s="23" t="s">
        <v>19</v>
      </c>
      <c r="C1" s="11" t="s">
        <v>2</v>
      </c>
      <c r="D1" s="10" t="s">
        <v>3</v>
      </c>
      <c r="E1" s="23" t="s">
        <v>21</v>
      </c>
      <c r="F1" s="11" t="s">
        <v>14</v>
      </c>
      <c r="G1" s="55" t="s">
        <v>13</v>
      </c>
      <c r="H1" s="23" t="s">
        <v>15</v>
      </c>
      <c r="I1" s="11" t="s">
        <v>1</v>
      </c>
      <c r="J1" s="11" t="s">
        <v>20</v>
      </c>
      <c r="K1" s="23" t="s">
        <v>18</v>
      </c>
      <c r="L1" s="23" t="s">
        <v>12</v>
      </c>
      <c r="M1" s="23" t="s">
        <v>48</v>
      </c>
      <c r="N1" s="23" t="s">
        <v>48</v>
      </c>
      <c r="O1" s="11"/>
      <c r="P1" s="23" t="s">
        <v>2</v>
      </c>
      <c r="Q1" s="23" t="s">
        <v>126</v>
      </c>
      <c r="R1" s="11" t="s">
        <v>9</v>
      </c>
      <c r="S1" s="11" t="s">
        <v>10</v>
      </c>
      <c r="T1" s="11" t="s">
        <v>11</v>
      </c>
      <c r="U1" s="11" t="s">
        <v>16</v>
      </c>
      <c r="V1" s="23" t="s">
        <v>25</v>
      </c>
      <c r="W1" s="38" t="s">
        <v>24</v>
      </c>
      <c r="AC1" s="19"/>
      <c r="AE1" s="66">
        <v>0</v>
      </c>
      <c r="AF1" s="25"/>
      <c r="AG1" s="83" t="s">
        <v>18</v>
      </c>
      <c r="AH1" s="25"/>
    </row>
    <row r="2" spans="1:36" ht="15.95" customHeight="1" x14ac:dyDescent="0.2">
      <c r="A2" s="58" t="s">
        <v>7</v>
      </c>
      <c r="B2" s="59">
        <v>10</v>
      </c>
      <c r="C2" s="59">
        <v>10</v>
      </c>
      <c r="D2" s="60">
        <v>10</v>
      </c>
      <c r="E2" s="59">
        <v>10</v>
      </c>
      <c r="F2" s="59">
        <v>10</v>
      </c>
      <c r="G2" s="59">
        <v>10</v>
      </c>
      <c r="H2" s="59">
        <v>10</v>
      </c>
      <c r="I2" s="59">
        <v>10</v>
      </c>
      <c r="J2" s="59">
        <v>10</v>
      </c>
      <c r="K2" s="59">
        <v>10</v>
      </c>
      <c r="L2" s="59">
        <v>10</v>
      </c>
      <c r="M2" s="59">
        <v>10</v>
      </c>
      <c r="N2" s="59"/>
      <c r="O2" s="59"/>
      <c r="P2" s="59"/>
      <c r="Q2" s="59"/>
      <c r="R2" s="59">
        <v>10</v>
      </c>
      <c r="S2" s="59">
        <v>10</v>
      </c>
      <c r="T2" s="59">
        <v>10</v>
      </c>
      <c r="U2" s="59">
        <v>10</v>
      </c>
      <c r="V2" s="61">
        <f>SUM(B2:U2)</f>
        <v>160</v>
      </c>
      <c r="W2" s="62"/>
      <c r="AA2" s="75">
        <v>3.75</v>
      </c>
      <c r="AC2" s="19"/>
      <c r="AD2" s="19"/>
      <c r="AE2" s="82">
        <v>1</v>
      </c>
      <c r="AF2" s="28">
        <v>0.5</v>
      </c>
      <c r="AG2" s="28">
        <v>1</v>
      </c>
    </row>
    <row r="3" spans="1:36" ht="15.95" customHeight="1" x14ac:dyDescent="0.2">
      <c r="A3" s="58" t="s">
        <v>6</v>
      </c>
      <c r="B3" s="63">
        <v>10</v>
      </c>
      <c r="C3" s="63">
        <v>10</v>
      </c>
      <c r="D3" s="63">
        <v>10</v>
      </c>
      <c r="E3" s="63">
        <v>10</v>
      </c>
      <c r="F3" s="63">
        <v>10</v>
      </c>
      <c r="G3" s="63">
        <v>10</v>
      </c>
      <c r="H3" s="65">
        <v>10</v>
      </c>
      <c r="I3" s="65">
        <v>10</v>
      </c>
      <c r="J3" s="65">
        <v>10</v>
      </c>
      <c r="K3" s="65">
        <v>10</v>
      </c>
      <c r="L3" s="65"/>
      <c r="M3" s="63"/>
      <c r="N3" s="60"/>
      <c r="O3" s="59"/>
      <c r="P3" s="59"/>
      <c r="Q3" s="59"/>
      <c r="R3" s="59">
        <v>10</v>
      </c>
      <c r="S3" s="59">
        <v>10</v>
      </c>
      <c r="T3" s="59">
        <v>10</v>
      </c>
      <c r="U3" s="59">
        <v>10</v>
      </c>
      <c r="V3" s="59">
        <f>SUM(B3:U3)-R3</f>
        <v>130</v>
      </c>
      <c r="W3" s="64"/>
      <c r="AA3" s="32">
        <v>50</v>
      </c>
      <c r="AB3" s="35">
        <v>12</v>
      </c>
      <c r="AC3" s="35">
        <v>20</v>
      </c>
      <c r="AD3" s="35">
        <v>20</v>
      </c>
      <c r="AE3" s="33">
        <v>43</v>
      </c>
      <c r="AF3" s="33">
        <v>42</v>
      </c>
      <c r="AG3" s="34">
        <v>40</v>
      </c>
      <c r="AH3" s="34"/>
      <c r="AI3" s="34"/>
      <c r="AJ3" s="34"/>
    </row>
    <row r="4" spans="1:36" s="49" customFormat="1" ht="27.75" customHeight="1" thickBot="1" x14ac:dyDescent="0.25">
      <c r="A4" s="45" t="s">
        <v>0</v>
      </c>
      <c r="B4" s="46">
        <v>42613</v>
      </c>
      <c r="C4" s="46">
        <f>B4+7</f>
        <v>42620</v>
      </c>
      <c r="D4" s="46">
        <f t="shared" ref="D4:M4" si="0">C4+7</f>
        <v>42627</v>
      </c>
      <c r="E4" s="46">
        <f t="shared" si="0"/>
        <v>42634</v>
      </c>
      <c r="F4" s="46">
        <f t="shared" si="0"/>
        <v>42641</v>
      </c>
      <c r="G4" s="46">
        <f t="shared" si="0"/>
        <v>42648</v>
      </c>
      <c r="H4" s="46">
        <f t="shared" si="0"/>
        <v>42655</v>
      </c>
      <c r="I4" s="46">
        <f t="shared" si="0"/>
        <v>42662</v>
      </c>
      <c r="J4" s="46">
        <f>I4+7</f>
        <v>42669</v>
      </c>
      <c r="K4" s="46">
        <f t="shared" si="0"/>
        <v>42676</v>
      </c>
      <c r="L4" s="46">
        <f t="shared" si="0"/>
        <v>42683</v>
      </c>
      <c r="M4" s="46">
        <f t="shared" si="0"/>
        <v>42690</v>
      </c>
      <c r="N4" s="56">
        <f>M4+14</f>
        <v>42704</v>
      </c>
      <c r="O4" s="46">
        <f t="shared" ref="O4" si="1">N4+7</f>
        <v>42711</v>
      </c>
      <c r="P4" s="71" t="s">
        <v>22</v>
      </c>
      <c r="Q4" s="71" t="s">
        <v>22</v>
      </c>
      <c r="R4" s="46"/>
      <c r="S4" s="46"/>
      <c r="T4" s="46"/>
      <c r="U4" s="46"/>
      <c r="V4" s="47" t="s">
        <v>4</v>
      </c>
      <c r="W4" s="48" t="s">
        <v>5</v>
      </c>
      <c r="AA4" s="50" t="s">
        <v>19</v>
      </c>
      <c r="AB4" s="51" t="s">
        <v>151</v>
      </c>
      <c r="AC4" s="50" t="s">
        <v>152</v>
      </c>
      <c r="AD4" s="50" t="s">
        <v>153</v>
      </c>
      <c r="AE4" s="52" t="s">
        <v>1</v>
      </c>
      <c r="AF4" s="52"/>
    </row>
    <row r="5" spans="1:36" s="2" customFormat="1" ht="20.100000000000001" customHeight="1" x14ac:dyDescent="0.2">
      <c r="A5" s="21" t="s">
        <v>87</v>
      </c>
      <c r="B5" s="16">
        <f>10*(AA$3-AA5+AA$2)/50</f>
        <v>9.0500000000000007</v>
      </c>
      <c r="C5" s="16">
        <v>10</v>
      </c>
      <c r="D5" s="16">
        <v>10</v>
      </c>
      <c r="E5" s="15">
        <f>(25-4.5)/25*10</f>
        <v>8.1999999999999993</v>
      </c>
      <c r="F5" s="74">
        <f>(5-2.25)/5*10-2</f>
        <v>3.5</v>
      </c>
      <c r="G5" s="16">
        <v>10</v>
      </c>
      <c r="H5" s="15">
        <f t="shared" ref="H5" si="2">(27-2)/27*10</f>
        <v>9.2592592592592595</v>
      </c>
      <c r="I5" s="15">
        <f>($AE$3-AE5)/$AE$3*10+$AE$2</f>
        <v>4.9534883720930232</v>
      </c>
      <c r="J5" s="15">
        <f>($AF$3-AF5)/$AF$3*10+$AF$2</f>
        <v>8.1190476190476186</v>
      </c>
      <c r="K5" s="15">
        <f>($AG$3-AG5)/$AG$3*10+$AG$2</f>
        <v>9.25</v>
      </c>
      <c r="L5" s="15"/>
      <c r="M5" s="15"/>
      <c r="N5" s="15"/>
      <c r="O5" s="16"/>
      <c r="P5" s="16"/>
      <c r="Q5" s="65">
        <v>1</v>
      </c>
      <c r="R5" s="16">
        <f>(AB$3-AB5)/AB$3*10</f>
        <v>8.3333333333333339</v>
      </c>
      <c r="S5" s="16">
        <f>(AC$3-AC5)/AC$3*10</f>
        <v>9.25</v>
      </c>
      <c r="T5" s="16">
        <v>8</v>
      </c>
      <c r="U5" s="16">
        <f>(AD$3-AD5)/AD$3*10</f>
        <v>7.25</v>
      </c>
      <c r="V5" s="16">
        <f t="shared" ref="V5" si="3">SUM(B5:U5)-MIN(R5:U5)</f>
        <v>108.91512858373324</v>
      </c>
      <c r="W5" s="37">
        <f t="shared" ref="W5" si="4">V5/$V$3</f>
        <v>0.83780868141333253</v>
      </c>
      <c r="Y5" s="29" t="str">
        <f t="shared" ref="Y5" si="5">IF(W5&gt;0.894,"A",IF(W5&gt;0.864,"B+",IF(W5&gt;0.794,"B",IF(W5&gt;0.764,"C+",IF(W5&gt;0.694,"C",IF(W5&gt;0.594,"D","F"))))))</f>
        <v>B</v>
      </c>
      <c r="Z5" s="29"/>
      <c r="AA5" s="3">
        <v>8.5</v>
      </c>
      <c r="AB5" s="5">
        <v>2</v>
      </c>
      <c r="AC5" s="2">
        <v>1.5</v>
      </c>
      <c r="AD5" s="2">
        <v>5.5</v>
      </c>
      <c r="AE5" s="30">
        <v>26</v>
      </c>
      <c r="AF5" s="2">
        <v>10</v>
      </c>
      <c r="AG5" s="26">
        <v>7</v>
      </c>
    </row>
    <row r="6" spans="1:36" s="2" customFormat="1" ht="20.100000000000001" customHeight="1" x14ac:dyDescent="0.2">
      <c r="A6" s="20" t="s">
        <v>89</v>
      </c>
      <c r="B6" s="16">
        <f t="shared" ref="B6:B16" si="6">10*(AA$3-AA6+AA$2)/50</f>
        <v>8.5500000000000007</v>
      </c>
      <c r="C6" s="16">
        <v>10</v>
      </c>
      <c r="D6" s="16">
        <v>10</v>
      </c>
      <c r="E6" s="15">
        <f>(25-5.5)/25*10</f>
        <v>7.8000000000000007</v>
      </c>
      <c r="F6" s="16">
        <v>10</v>
      </c>
      <c r="G6" s="16">
        <v>10</v>
      </c>
      <c r="H6" s="81">
        <v>0</v>
      </c>
      <c r="I6" s="15">
        <f t="shared" ref="I6:I15" si="7">($AE$3-AE6)/$AE$3*10+$AE$2</f>
        <v>7.395348837209303</v>
      </c>
      <c r="J6" s="15">
        <f t="shared" ref="J6:J15" si="8">($AF$3-AF6)/$AF$3*10+$AF$2</f>
        <v>9.1904761904761898</v>
      </c>
      <c r="K6" s="15">
        <f t="shared" ref="K6:K16" si="9">($AG$3-AG6)/$AG$3*10+$AG$2</f>
        <v>9.5</v>
      </c>
      <c r="L6" s="15"/>
      <c r="M6" s="15"/>
      <c r="N6" s="15"/>
      <c r="O6" s="16"/>
      <c r="P6" s="16"/>
      <c r="Q6" s="65">
        <v>1</v>
      </c>
      <c r="R6" s="16">
        <f t="shared" ref="R6:R16" si="10">(AB$3-AB6)/AB$3*10</f>
        <v>5.8333333333333339</v>
      </c>
      <c r="S6" s="16">
        <f t="shared" ref="S6:S16" si="11">(AC$3-AC6)/AC$3*10</f>
        <v>4.25</v>
      </c>
      <c r="T6" s="16">
        <v>5.5</v>
      </c>
      <c r="U6" s="74">
        <v>5</v>
      </c>
      <c r="V6" s="16">
        <f t="shared" ref="V6:V16" si="12">SUM(B6:U6)-MIN(R6:U6)</f>
        <v>99.769158361018825</v>
      </c>
      <c r="W6" s="37">
        <f t="shared" ref="W6:W16" si="13">V6/$V$3</f>
        <v>0.76745506431552946</v>
      </c>
      <c r="X6" s="2">
        <v>1</v>
      </c>
      <c r="Y6" s="29" t="str">
        <f t="shared" ref="Y6:Y15" si="14">IF(W6&gt;0.894,"A",IF(W6&gt;0.864,"B+",IF(W6&gt;0.794,"B",IF(W6&gt;0.764,"C+",IF(W6&gt;0.694,"C",IF(W6&gt;0.594,"D","F"))))))</f>
        <v>C+</v>
      </c>
      <c r="Z6" s="29" t="s">
        <v>50</v>
      </c>
      <c r="AA6" s="3">
        <v>11</v>
      </c>
      <c r="AB6" s="76">
        <v>5</v>
      </c>
      <c r="AC6" s="2">
        <v>11.5</v>
      </c>
      <c r="AD6" s="80">
        <v>20</v>
      </c>
      <c r="AE6" s="30">
        <v>15.5</v>
      </c>
      <c r="AF6" s="2">
        <v>5.5</v>
      </c>
      <c r="AG6" s="2">
        <v>6</v>
      </c>
    </row>
    <row r="7" spans="1:36" s="2" customFormat="1" ht="20.100000000000001" customHeight="1" x14ac:dyDescent="0.2">
      <c r="A7" s="20" t="s">
        <v>91</v>
      </c>
      <c r="B7" s="16">
        <f t="shared" si="6"/>
        <v>8.35</v>
      </c>
      <c r="C7" s="16">
        <v>10</v>
      </c>
      <c r="D7" s="16">
        <v>10</v>
      </c>
      <c r="E7" s="15">
        <f>(25-5.5)/25*10</f>
        <v>7.8000000000000007</v>
      </c>
      <c r="F7" s="16">
        <v>10</v>
      </c>
      <c r="G7" s="16">
        <v>10</v>
      </c>
      <c r="H7" s="16">
        <f>(27-2)/27*10</f>
        <v>9.2592592592592595</v>
      </c>
      <c r="I7" s="15">
        <f t="shared" si="7"/>
        <v>8.9069767441860463</v>
      </c>
      <c r="J7" s="15">
        <f t="shared" si="8"/>
        <v>9.3095238095238102</v>
      </c>
      <c r="K7" s="15">
        <f t="shared" si="9"/>
        <v>9.5</v>
      </c>
      <c r="L7" s="15"/>
      <c r="M7" s="15"/>
      <c r="N7" s="15"/>
      <c r="O7" s="16"/>
      <c r="P7" s="16"/>
      <c r="Q7" s="65">
        <v>1</v>
      </c>
      <c r="R7" s="16">
        <f t="shared" si="10"/>
        <v>9.1666666666666661</v>
      </c>
      <c r="S7" s="16">
        <f t="shared" si="11"/>
        <v>7.25</v>
      </c>
      <c r="T7" s="16">
        <v>8</v>
      </c>
      <c r="U7" s="16">
        <f t="shared" ref="U7:U15" si="15">(AD$3-AD7)/AD$3*10</f>
        <v>6.75</v>
      </c>
      <c r="V7" s="16">
        <f t="shared" si="12"/>
        <v>118.54242647963579</v>
      </c>
      <c r="W7" s="37">
        <f t="shared" si="13"/>
        <v>0.91186481907412154</v>
      </c>
      <c r="X7" s="26"/>
      <c r="Y7" s="29" t="str">
        <f t="shared" si="14"/>
        <v>A</v>
      </c>
      <c r="Z7" s="29" t="s">
        <v>50</v>
      </c>
      <c r="AA7" s="3">
        <v>12</v>
      </c>
      <c r="AB7" s="76">
        <v>1</v>
      </c>
      <c r="AC7" s="79">
        <v>5.5</v>
      </c>
      <c r="AD7" s="2">
        <v>6.5</v>
      </c>
      <c r="AE7" s="30">
        <v>9</v>
      </c>
      <c r="AF7" s="2">
        <v>5</v>
      </c>
      <c r="AG7" s="2">
        <v>6</v>
      </c>
    </row>
    <row r="8" spans="1:36" s="2" customFormat="1" ht="20.100000000000001" customHeight="1" x14ac:dyDescent="0.2">
      <c r="A8" s="20" t="s">
        <v>93</v>
      </c>
      <c r="B8" s="78">
        <f>10*(63-13)/63-2</f>
        <v>5.9365079365079367</v>
      </c>
      <c r="C8" s="16">
        <v>10</v>
      </c>
      <c r="D8" s="16">
        <v>10</v>
      </c>
      <c r="E8" s="15">
        <f>(25-5.5)/25*10</f>
        <v>7.8000000000000007</v>
      </c>
      <c r="F8" s="74">
        <v>0</v>
      </c>
      <c r="G8" s="16">
        <v>10</v>
      </c>
      <c r="H8" s="16">
        <f t="shared" ref="H8:H16" si="16">(27-2)/27*10</f>
        <v>9.2592592592592595</v>
      </c>
      <c r="I8" s="15">
        <f t="shared" si="7"/>
        <v>7.7441860465116275</v>
      </c>
      <c r="J8" s="15">
        <f t="shared" si="8"/>
        <v>9.3095238095238102</v>
      </c>
      <c r="K8" s="15">
        <f t="shared" si="9"/>
        <v>9.5</v>
      </c>
      <c r="L8" s="15"/>
      <c r="M8" s="15"/>
      <c r="N8" s="15"/>
      <c r="O8" s="16"/>
      <c r="P8" s="16"/>
      <c r="Q8" s="65">
        <v>1</v>
      </c>
      <c r="R8" s="16">
        <f t="shared" si="10"/>
        <v>5.8333333333333339</v>
      </c>
      <c r="S8" s="16">
        <f t="shared" si="11"/>
        <v>8.25</v>
      </c>
      <c r="T8" s="16">
        <v>10</v>
      </c>
      <c r="U8" s="16">
        <f t="shared" si="15"/>
        <v>9.75</v>
      </c>
      <c r="V8" s="16">
        <f>SUM(B8:U8)-MIN(R8:U8)</f>
        <v>108.54947705180263</v>
      </c>
      <c r="W8" s="37">
        <f t="shared" ref="W8" si="17">V8/$V$3</f>
        <v>0.83499597732155861</v>
      </c>
      <c r="X8" s="26"/>
      <c r="Y8" s="29" t="s">
        <v>50</v>
      </c>
      <c r="Z8" s="29" t="s">
        <v>51</v>
      </c>
      <c r="AA8" s="3">
        <v>50</v>
      </c>
      <c r="AB8" s="5">
        <v>5</v>
      </c>
      <c r="AC8" s="2">
        <v>3.5</v>
      </c>
      <c r="AD8" s="2">
        <v>0.5</v>
      </c>
      <c r="AE8" s="30">
        <v>14</v>
      </c>
      <c r="AF8" s="2">
        <v>5</v>
      </c>
      <c r="AG8" s="2">
        <v>6</v>
      </c>
    </row>
    <row r="9" spans="1:36" s="2" customFormat="1" ht="20.100000000000001" customHeight="1" x14ac:dyDescent="0.2">
      <c r="A9" s="20" t="s">
        <v>95</v>
      </c>
      <c r="B9" s="16">
        <f t="shared" si="6"/>
        <v>8.5</v>
      </c>
      <c r="C9" s="16">
        <v>10</v>
      </c>
      <c r="D9" s="16">
        <v>10</v>
      </c>
      <c r="E9" s="15">
        <f>(25-0.75)/25*10</f>
        <v>9.6999999999999993</v>
      </c>
      <c r="F9" s="16">
        <v>10</v>
      </c>
      <c r="G9" s="16">
        <v>10</v>
      </c>
      <c r="H9" s="15">
        <f t="shared" si="16"/>
        <v>9.2592592592592595</v>
      </c>
      <c r="I9" s="15">
        <f t="shared" si="7"/>
        <v>9.1395348837209305</v>
      </c>
      <c r="J9" s="15">
        <f t="shared" si="8"/>
        <v>9.4285714285714288</v>
      </c>
      <c r="K9" s="15">
        <f t="shared" si="9"/>
        <v>9.25</v>
      </c>
      <c r="L9" s="15"/>
      <c r="M9" s="15"/>
      <c r="N9" s="15"/>
      <c r="O9" s="16"/>
      <c r="P9" s="16"/>
      <c r="Q9" s="65">
        <v>0</v>
      </c>
      <c r="R9" s="16">
        <f t="shared" si="10"/>
        <v>9.1666666666666661</v>
      </c>
      <c r="S9" s="16">
        <f t="shared" si="11"/>
        <v>9.75</v>
      </c>
      <c r="T9" s="16">
        <v>9</v>
      </c>
      <c r="U9" s="16">
        <f t="shared" si="15"/>
        <v>8.75</v>
      </c>
      <c r="V9" s="16">
        <f t="shared" si="12"/>
        <v>123.19403223821828</v>
      </c>
      <c r="W9" s="37">
        <f t="shared" si="13"/>
        <v>0.9476464018324483</v>
      </c>
      <c r="X9" s="26"/>
      <c r="Y9" s="29" t="str">
        <f t="shared" ref="Y9" si="18">IF(W9&gt;0.894,"A",IF(W9&gt;0.864,"B+",IF(W9&gt;0.794,"B",IF(W9&gt;0.764,"C+",IF(W9&gt;0.694,"C",IF(W9&gt;0.594,"D","F"))))))</f>
        <v>A</v>
      </c>
      <c r="Z9" s="29" t="s">
        <v>52</v>
      </c>
      <c r="AA9" s="3">
        <v>11.25</v>
      </c>
      <c r="AB9" s="76">
        <v>1</v>
      </c>
      <c r="AC9" s="2">
        <v>0.5</v>
      </c>
      <c r="AD9" s="2">
        <v>2.5</v>
      </c>
      <c r="AE9" s="30">
        <v>8</v>
      </c>
      <c r="AF9" s="2">
        <v>4.5</v>
      </c>
      <c r="AG9" s="2">
        <v>7</v>
      </c>
    </row>
    <row r="10" spans="1:36" s="2" customFormat="1" ht="20.100000000000001" customHeight="1" x14ac:dyDescent="0.2">
      <c r="A10" s="20" t="s">
        <v>97</v>
      </c>
      <c r="B10" s="16">
        <f t="shared" si="6"/>
        <v>8.35</v>
      </c>
      <c r="C10" s="16">
        <v>10</v>
      </c>
      <c r="D10" s="16">
        <v>10</v>
      </c>
      <c r="E10" s="15">
        <f>(25-5.5)/25*10</f>
        <v>7.8000000000000007</v>
      </c>
      <c r="F10" s="16">
        <v>10</v>
      </c>
      <c r="G10" s="16">
        <v>10</v>
      </c>
      <c r="H10" s="15">
        <f t="shared" si="16"/>
        <v>9.2592592592592595</v>
      </c>
      <c r="I10" s="15">
        <f t="shared" si="7"/>
        <v>9.0232558139534884</v>
      </c>
      <c r="J10" s="15">
        <f>(48-5)/48*10</f>
        <v>8.9583333333333339</v>
      </c>
      <c r="K10" s="15">
        <f t="shared" si="9"/>
        <v>9.5</v>
      </c>
      <c r="L10" s="15"/>
      <c r="M10" s="15"/>
      <c r="N10" s="15"/>
      <c r="O10" s="16"/>
      <c r="P10" s="16"/>
      <c r="Q10" s="65">
        <v>0</v>
      </c>
      <c r="R10" s="16">
        <f t="shared" si="10"/>
        <v>8.3333333333333339</v>
      </c>
      <c r="S10" s="16">
        <f t="shared" si="11"/>
        <v>9.5</v>
      </c>
      <c r="T10" s="16">
        <v>9.5</v>
      </c>
      <c r="U10" s="16">
        <f t="shared" si="15"/>
        <v>8.75</v>
      </c>
      <c r="V10" s="16">
        <f t="shared" si="12"/>
        <v>120.64084840654608</v>
      </c>
      <c r="W10" s="37">
        <f t="shared" si="13"/>
        <v>0.92800652620420065</v>
      </c>
      <c r="X10" s="26"/>
      <c r="Y10" s="29" t="str">
        <f t="shared" si="14"/>
        <v>A</v>
      </c>
      <c r="Z10" s="29" t="s">
        <v>52</v>
      </c>
      <c r="AA10" s="3">
        <v>12</v>
      </c>
      <c r="AB10" s="76">
        <v>2</v>
      </c>
      <c r="AC10" s="2">
        <v>1</v>
      </c>
      <c r="AD10" s="2">
        <v>2.5</v>
      </c>
      <c r="AE10" s="30">
        <v>8.5</v>
      </c>
      <c r="AG10" s="26">
        <v>6</v>
      </c>
    </row>
    <row r="11" spans="1:36" s="2" customFormat="1" ht="20.100000000000001" customHeight="1" x14ac:dyDescent="0.2">
      <c r="A11" s="20" t="s">
        <v>99</v>
      </c>
      <c r="B11" s="16">
        <f t="shared" si="6"/>
        <v>8.75</v>
      </c>
      <c r="C11" s="16">
        <v>10</v>
      </c>
      <c r="D11" s="16">
        <v>10</v>
      </c>
      <c r="E11" s="15">
        <f>(25-4.5)/25*10</f>
        <v>8.1999999999999993</v>
      </c>
      <c r="F11" s="16">
        <v>10</v>
      </c>
      <c r="G11" s="16">
        <v>10</v>
      </c>
      <c r="H11" s="15">
        <f t="shared" si="16"/>
        <v>9.2592592592592595</v>
      </c>
      <c r="I11" s="81"/>
      <c r="J11" s="81">
        <f>(46-3)/46*10</f>
        <v>9.3478260869565215</v>
      </c>
      <c r="K11" s="81">
        <f>(39-8)/39*10</f>
        <v>7.948717948717948</v>
      </c>
      <c r="L11" s="15"/>
      <c r="M11" s="15"/>
      <c r="N11" s="15"/>
      <c r="O11" s="16"/>
      <c r="P11" s="16"/>
      <c r="Q11" s="65">
        <v>1</v>
      </c>
      <c r="R11" s="16">
        <f t="shared" si="10"/>
        <v>7.5</v>
      </c>
      <c r="S11" s="16">
        <f t="shared" si="11"/>
        <v>8.25</v>
      </c>
      <c r="T11" s="74">
        <v>11</v>
      </c>
      <c r="U11" s="16">
        <f t="shared" si="15"/>
        <v>9.5</v>
      </c>
      <c r="V11" s="16">
        <f t="shared" ref="V11" si="19">SUM(B11:U11)-MIN(R11:U11)</f>
        <v>113.25580329493371</v>
      </c>
      <c r="W11" s="37">
        <f t="shared" ref="W11" si="20">V11/$V$3</f>
        <v>0.87119848688410551</v>
      </c>
      <c r="X11" s="2">
        <v>1</v>
      </c>
      <c r="Y11" s="29" t="str">
        <f t="shared" ref="Y11" si="21">IF(W11&gt;0.894,"A",IF(W11&gt;0.864,"B+",IF(W11&gt;0.794,"B",IF(W11&gt;0.764,"C+",IF(W11&gt;0.694,"C",IF(W11&gt;0.594,"D","F"))))))</f>
        <v>B+</v>
      </c>
      <c r="Z11" s="29" t="s">
        <v>53</v>
      </c>
      <c r="AA11" s="3">
        <v>10</v>
      </c>
      <c r="AB11" s="5">
        <v>3</v>
      </c>
      <c r="AC11" s="2">
        <v>3.5</v>
      </c>
      <c r="AD11" s="2">
        <v>1</v>
      </c>
      <c r="AE11" s="30">
        <v>43</v>
      </c>
      <c r="AG11" s="26"/>
    </row>
    <row r="12" spans="1:36" s="2" customFormat="1" ht="20.100000000000001" customHeight="1" x14ac:dyDescent="0.2">
      <c r="A12" s="73" t="s">
        <v>101</v>
      </c>
      <c r="B12" s="16">
        <f t="shared" si="6"/>
        <v>7.85</v>
      </c>
      <c r="C12" s="16">
        <v>10</v>
      </c>
      <c r="D12" s="16">
        <v>10</v>
      </c>
      <c r="E12" s="15">
        <f>(25-0.75)/25*10</f>
        <v>9.6999999999999993</v>
      </c>
      <c r="F12" s="16">
        <v>10</v>
      </c>
      <c r="G12" s="16">
        <v>10</v>
      </c>
      <c r="H12" s="15">
        <f t="shared" si="16"/>
        <v>9.2592592592592595</v>
      </c>
      <c r="I12" s="15">
        <f t="shared" si="7"/>
        <v>9.2558139534883725</v>
      </c>
      <c r="J12" s="15">
        <f t="shared" si="8"/>
        <v>9.0714285714285712</v>
      </c>
      <c r="K12" s="15">
        <f t="shared" si="9"/>
        <v>9.25</v>
      </c>
      <c r="L12" s="15"/>
      <c r="M12" s="15"/>
      <c r="N12" s="15"/>
      <c r="O12" s="16"/>
      <c r="P12" s="16"/>
      <c r="Q12" s="65">
        <v>0</v>
      </c>
      <c r="R12" s="16">
        <f t="shared" si="10"/>
        <v>5</v>
      </c>
      <c r="S12" s="16">
        <f t="shared" si="11"/>
        <v>7.5</v>
      </c>
      <c r="T12" s="16">
        <v>5</v>
      </c>
      <c r="U12" s="78">
        <v>9.5</v>
      </c>
      <c r="V12" s="16">
        <f t="shared" si="12"/>
        <v>116.38650178417619</v>
      </c>
      <c r="W12" s="37">
        <f t="shared" si="13"/>
        <v>0.89528078295520142</v>
      </c>
      <c r="Y12" s="29" t="str">
        <f t="shared" si="14"/>
        <v>A</v>
      </c>
      <c r="Z12" s="29" t="s">
        <v>50</v>
      </c>
      <c r="AA12" s="3">
        <v>14.5</v>
      </c>
      <c r="AB12" s="5">
        <v>6</v>
      </c>
      <c r="AC12" s="2">
        <v>5</v>
      </c>
      <c r="AD12" s="2">
        <v>13</v>
      </c>
      <c r="AE12" s="30">
        <v>7.5</v>
      </c>
      <c r="AF12" s="2">
        <v>6</v>
      </c>
      <c r="AG12" s="2">
        <v>7</v>
      </c>
    </row>
    <row r="13" spans="1:36" s="2" customFormat="1" ht="20.100000000000001" customHeight="1" x14ac:dyDescent="0.2">
      <c r="A13" s="20" t="s">
        <v>103</v>
      </c>
      <c r="B13" s="16">
        <f t="shared" si="6"/>
        <v>8.4</v>
      </c>
      <c r="C13" s="16">
        <v>10</v>
      </c>
      <c r="D13" s="16">
        <v>10</v>
      </c>
      <c r="E13" s="15">
        <f>(25-0.75)/25*10</f>
        <v>9.6999999999999993</v>
      </c>
      <c r="F13" s="16">
        <v>10</v>
      </c>
      <c r="G13" s="16">
        <v>10</v>
      </c>
      <c r="H13" s="15">
        <f t="shared" si="16"/>
        <v>9.2592592592592595</v>
      </c>
      <c r="I13" s="15">
        <f t="shared" si="7"/>
        <v>9.0813953488372086</v>
      </c>
      <c r="J13" s="15">
        <f t="shared" si="8"/>
        <v>9.5476190476190474</v>
      </c>
      <c r="K13" s="15">
        <f t="shared" si="9"/>
        <v>9.25</v>
      </c>
      <c r="L13" s="15"/>
      <c r="M13" s="15"/>
      <c r="N13" s="15"/>
      <c r="O13" s="16"/>
      <c r="P13" s="16"/>
      <c r="Q13" s="65">
        <v>1</v>
      </c>
      <c r="R13" s="16">
        <f t="shared" si="10"/>
        <v>9.1666666666666661</v>
      </c>
      <c r="S13" s="16">
        <f t="shared" si="11"/>
        <v>9.25</v>
      </c>
      <c r="T13" s="16">
        <v>11</v>
      </c>
      <c r="U13" s="16">
        <f t="shared" si="15"/>
        <v>9.25</v>
      </c>
      <c r="V13" s="16">
        <f t="shared" si="12"/>
        <v>125.7382736557155</v>
      </c>
      <c r="W13" s="37">
        <f t="shared" si="13"/>
        <v>0.96721748965935006</v>
      </c>
      <c r="X13" s="26"/>
      <c r="Y13" s="29" t="str">
        <f t="shared" si="14"/>
        <v>A</v>
      </c>
      <c r="Z13" s="29" t="s">
        <v>53</v>
      </c>
      <c r="AA13" s="3">
        <v>11.75</v>
      </c>
      <c r="AB13" s="76">
        <v>1</v>
      </c>
      <c r="AC13" s="2">
        <v>1.5</v>
      </c>
      <c r="AD13" s="2">
        <v>1.5</v>
      </c>
      <c r="AE13" s="30">
        <v>8.25</v>
      </c>
      <c r="AF13" s="2">
        <v>4</v>
      </c>
      <c r="AG13" s="2">
        <v>7</v>
      </c>
    </row>
    <row r="14" spans="1:36" s="2" customFormat="1" ht="20.100000000000001" customHeight="1" x14ac:dyDescent="0.2">
      <c r="A14" s="20" t="s">
        <v>105</v>
      </c>
      <c r="B14" s="16">
        <f t="shared" si="6"/>
        <v>9.8000000000000007</v>
      </c>
      <c r="C14" s="16">
        <v>10</v>
      </c>
      <c r="D14" s="16">
        <v>10</v>
      </c>
      <c r="E14" s="15">
        <f>(25-4.5)/25*10</f>
        <v>8.1999999999999993</v>
      </c>
      <c r="F14" s="16">
        <v>10</v>
      </c>
      <c r="G14" s="16">
        <v>10</v>
      </c>
      <c r="H14" s="15">
        <f t="shared" si="16"/>
        <v>9.2592592592592595</v>
      </c>
      <c r="I14" s="15">
        <f t="shared" si="7"/>
        <v>6.5813953488372094</v>
      </c>
      <c r="J14" s="81"/>
      <c r="K14" s="15">
        <f t="shared" si="9"/>
        <v>8.5</v>
      </c>
      <c r="L14" s="15"/>
      <c r="M14" s="16"/>
      <c r="N14" s="15"/>
      <c r="O14" s="16"/>
      <c r="P14" s="16"/>
      <c r="Q14" s="65">
        <v>1</v>
      </c>
      <c r="R14" s="16">
        <f t="shared" si="10"/>
        <v>8.3333333333333339</v>
      </c>
      <c r="S14" s="16">
        <f t="shared" si="11"/>
        <v>8.5</v>
      </c>
      <c r="T14" s="16">
        <v>10.5</v>
      </c>
      <c r="U14" s="16">
        <f t="shared" si="15"/>
        <v>7.25</v>
      </c>
      <c r="V14" s="16">
        <f t="shared" si="12"/>
        <v>110.6739879414298</v>
      </c>
      <c r="W14" s="37">
        <f t="shared" si="13"/>
        <v>0.85133836878022928</v>
      </c>
      <c r="Y14" s="29" t="str">
        <f t="shared" si="14"/>
        <v>B</v>
      </c>
      <c r="Z14" s="29" t="s">
        <v>54</v>
      </c>
      <c r="AA14" s="3">
        <v>4.75</v>
      </c>
      <c r="AB14" s="5">
        <v>2</v>
      </c>
      <c r="AC14" s="2">
        <v>3</v>
      </c>
      <c r="AD14" s="2">
        <v>5.5</v>
      </c>
      <c r="AE14" s="30">
        <v>19</v>
      </c>
      <c r="AG14" s="2">
        <v>10</v>
      </c>
    </row>
    <row r="15" spans="1:36" s="2" customFormat="1" ht="20.100000000000001" customHeight="1" x14ac:dyDescent="0.2">
      <c r="A15" s="20" t="s">
        <v>109</v>
      </c>
      <c r="B15" s="16">
        <f t="shared" si="6"/>
        <v>10</v>
      </c>
      <c r="C15" s="16">
        <v>10</v>
      </c>
      <c r="D15" s="16">
        <v>10</v>
      </c>
      <c r="E15" s="15">
        <f>(25-4.5)/25*10</f>
        <v>8.1999999999999993</v>
      </c>
      <c r="F15" s="16">
        <v>10</v>
      </c>
      <c r="G15" s="16">
        <v>10</v>
      </c>
      <c r="H15" s="15">
        <f t="shared" si="16"/>
        <v>9.2592592592592595</v>
      </c>
      <c r="I15" s="15">
        <f t="shared" si="7"/>
        <v>7.0465116279069768</v>
      </c>
      <c r="J15" s="15">
        <f t="shared" si="8"/>
        <v>9.0714285714285712</v>
      </c>
      <c r="K15" s="15">
        <f t="shared" si="9"/>
        <v>8.5</v>
      </c>
      <c r="L15" s="15"/>
      <c r="M15" s="16"/>
      <c r="N15" s="15"/>
      <c r="O15" s="16"/>
      <c r="P15" s="16"/>
      <c r="Q15" s="65">
        <v>1</v>
      </c>
      <c r="R15" s="16">
        <f t="shared" si="10"/>
        <v>9.1666666666666661</v>
      </c>
      <c r="S15" s="16">
        <f t="shared" si="11"/>
        <v>9.5</v>
      </c>
      <c r="T15" s="16">
        <v>10.5</v>
      </c>
      <c r="U15" s="16">
        <f t="shared" si="15"/>
        <v>9.25</v>
      </c>
      <c r="V15" s="16">
        <f t="shared" si="12"/>
        <v>122.32719945859482</v>
      </c>
      <c r="W15" s="37">
        <f t="shared" si="13"/>
        <v>0.94097845737380625</v>
      </c>
      <c r="Y15" s="29" t="str">
        <f t="shared" si="14"/>
        <v>A</v>
      </c>
      <c r="Z15" s="29" t="s">
        <v>52</v>
      </c>
      <c r="AA15" s="3">
        <v>3.75</v>
      </c>
      <c r="AB15" s="5">
        <v>1</v>
      </c>
      <c r="AC15" s="2">
        <v>1</v>
      </c>
      <c r="AD15" s="2">
        <v>1.5</v>
      </c>
      <c r="AE15" s="30">
        <v>17</v>
      </c>
      <c r="AF15" s="2">
        <v>6</v>
      </c>
      <c r="AG15" s="26">
        <v>10</v>
      </c>
    </row>
    <row r="16" spans="1:36" s="2" customFormat="1" ht="20.100000000000001" customHeight="1" x14ac:dyDescent="0.2">
      <c r="A16" s="20" t="s">
        <v>111</v>
      </c>
      <c r="B16" s="16">
        <f t="shared" si="6"/>
        <v>8.35</v>
      </c>
      <c r="C16" s="16">
        <v>10</v>
      </c>
      <c r="D16" s="16">
        <v>10</v>
      </c>
      <c r="E16" s="15">
        <f>(25-6)/25*10</f>
        <v>7.6</v>
      </c>
      <c r="F16" s="16">
        <v>10</v>
      </c>
      <c r="G16" s="74">
        <v>0</v>
      </c>
      <c r="H16" s="15">
        <f t="shared" si="16"/>
        <v>9.2592592592592595</v>
      </c>
      <c r="I16" s="15">
        <f>(32-AE16)/32*10+$AE$2</f>
        <v>6.703125</v>
      </c>
      <c r="J16" s="81"/>
      <c r="K16" s="15">
        <f t="shared" si="9"/>
        <v>8.5</v>
      </c>
      <c r="L16" s="15"/>
      <c r="M16" s="16"/>
      <c r="N16" s="15"/>
      <c r="O16" s="16"/>
      <c r="P16" s="16"/>
      <c r="Q16" s="65">
        <v>1</v>
      </c>
      <c r="R16" s="16">
        <f t="shared" si="10"/>
        <v>8.3333333333333339</v>
      </c>
      <c r="S16" s="16">
        <f t="shared" si="11"/>
        <v>6</v>
      </c>
      <c r="T16" s="74">
        <v>7.5</v>
      </c>
      <c r="U16" s="78">
        <v>8</v>
      </c>
      <c r="V16" s="16">
        <f t="shared" si="12"/>
        <v>95.245717592592584</v>
      </c>
      <c r="W16" s="37">
        <f t="shared" si="13"/>
        <v>0.73265936609686599</v>
      </c>
      <c r="Y16" s="29" t="str">
        <f t="shared" ref="Y16" si="22">IF(W16&gt;0.894,"A",IF(W16&gt;0.864,"B+",IF(W16&gt;0.794,"B",IF(W16&gt;0.764,"C+",IF(W16&gt;0.694,"C",IF(W16&gt;0.594,"D","F"))))))</f>
        <v>C</v>
      </c>
      <c r="Z16" s="29" t="s">
        <v>53</v>
      </c>
      <c r="AA16" s="3">
        <v>12</v>
      </c>
      <c r="AB16" s="5">
        <v>2</v>
      </c>
      <c r="AC16" s="79">
        <v>8</v>
      </c>
      <c r="AD16" s="2">
        <v>9.5</v>
      </c>
      <c r="AE16" s="30">
        <v>13.75</v>
      </c>
      <c r="AG16" s="26">
        <v>10</v>
      </c>
    </row>
    <row r="17" spans="1:27" s="2" customFormat="1" ht="20.100000000000001" customHeight="1" x14ac:dyDescent="0.2">
      <c r="A17" s="20"/>
      <c r="B17" s="16"/>
      <c r="C17" s="16"/>
      <c r="D17" s="16"/>
      <c r="E17" s="15"/>
      <c r="F17" s="16"/>
      <c r="G17" s="16"/>
      <c r="H17" s="15"/>
      <c r="I17" s="15"/>
      <c r="J17" s="15"/>
      <c r="K17" s="15"/>
      <c r="L17" s="15"/>
      <c r="M17" s="15"/>
      <c r="N17" s="15"/>
      <c r="O17" s="15"/>
      <c r="P17" s="15"/>
      <c r="Q17" s="65"/>
      <c r="R17" s="15"/>
      <c r="S17" s="16"/>
      <c r="T17" s="16"/>
      <c r="U17" s="16"/>
      <c r="V17" s="1"/>
      <c r="W17" s="4"/>
      <c r="AA17" s="3"/>
    </row>
    <row r="18" spans="1:27" s="2" customFormat="1" ht="20.100000000000001" customHeight="1" thickBot="1" x14ac:dyDescent="0.25">
      <c r="A18" s="6" t="s">
        <v>8</v>
      </c>
      <c r="B18" s="7"/>
      <c r="C18" s="7"/>
      <c r="D18" s="7"/>
      <c r="E18" s="7"/>
      <c r="F18" s="7"/>
      <c r="G18" s="7"/>
      <c r="H18" s="7"/>
      <c r="I18" s="7"/>
      <c r="J18" s="7"/>
      <c r="K18" s="7"/>
      <c r="L18" s="7"/>
      <c r="M18" s="7"/>
      <c r="N18" s="7"/>
      <c r="O18" s="7"/>
      <c r="P18" s="7"/>
      <c r="Q18" s="7"/>
      <c r="R18" s="7"/>
      <c r="S18" s="7"/>
      <c r="T18" s="7"/>
      <c r="U18" s="7"/>
      <c r="V18" s="8"/>
      <c r="W18" s="9"/>
      <c r="AA18" s="3"/>
    </row>
    <row r="19" spans="1:27" x14ac:dyDescent="0.2">
      <c r="J19" s="19"/>
      <c r="AA19" s="29">
        <v>4</v>
      </c>
    </row>
    <row r="20" spans="1:27" x14ac:dyDescent="0.2">
      <c r="A20" s="39" t="s">
        <v>26</v>
      </c>
      <c r="I20" s="27">
        <f>MAX(I7:I16)</f>
        <v>9.2558139534883725</v>
      </c>
      <c r="J20" s="27">
        <f>MAX(J7:J16)</f>
        <v>9.5476190476190474</v>
      </c>
      <c r="M20" s="27">
        <f>MAX(M7:M16)</f>
        <v>0</v>
      </c>
      <c r="R20" s="27">
        <f>MAX(R7:R16)</f>
        <v>9.1666666666666661</v>
      </c>
      <c r="T20" s="27"/>
    </row>
    <row r="21" spans="1:27" x14ac:dyDescent="0.2">
      <c r="A21" s="39" t="s">
        <v>23</v>
      </c>
      <c r="I21" s="27">
        <f>MIN(I7:I16)</f>
        <v>6.5813953488372094</v>
      </c>
      <c r="J21" s="27">
        <f>MIN(J7:J16)</f>
        <v>8.9583333333333339</v>
      </c>
      <c r="M21" s="27">
        <f>MIN(M7:M16)</f>
        <v>0</v>
      </c>
      <c r="R21" s="27">
        <f>MIN(R7:R16)</f>
        <v>5</v>
      </c>
    </row>
    <row r="22" spans="1:27" x14ac:dyDescent="0.2">
      <c r="A22" s="39" t="s">
        <v>27</v>
      </c>
      <c r="B22" s="24"/>
      <c r="C22" s="19"/>
      <c r="G22" s="12">
        <f>300/3.1</f>
        <v>96.774193548387089</v>
      </c>
      <c r="I22" s="27">
        <f>AVERAGE(I7:I16)</f>
        <v>8.1646883074935399</v>
      </c>
      <c r="J22" s="27">
        <f>AVERAGE(J7:J16)</f>
        <v>9.2555318322981375</v>
      </c>
      <c r="M22" s="27" t="e">
        <f>AVERAGE(M7:M16)</f>
        <v>#DIV/0!</v>
      </c>
      <c r="R22" s="27">
        <f>AVERAGE(R7:R16)</f>
        <v>8</v>
      </c>
    </row>
    <row r="23" spans="1:27" x14ac:dyDescent="0.2">
      <c r="A23" s="39" t="s">
        <v>28</v>
      </c>
      <c r="B23" s="24"/>
      <c r="C23" s="19"/>
      <c r="I23" s="27">
        <f>_xlfn.STDEV.P(I7:I16)</f>
        <v>1.0718358208429954</v>
      </c>
      <c r="J23" s="27">
        <f>_xlfn.STDEV.P(J7:J16)</f>
        <v>0.18898449307989418</v>
      </c>
      <c r="M23" s="27" t="e">
        <f>_xlfn.STDEV.P(M7:M16)</f>
        <v>#DIV/0!</v>
      </c>
      <c r="R23" s="27">
        <f>_xlfn.STDEV.P(R7:R16)</f>
        <v>1.4043582955293945</v>
      </c>
      <c r="Z23" s="12">
        <v>64</v>
      </c>
      <c r="AA23" s="12">
        <f>1/Z23</f>
        <v>1.5625E-2</v>
      </c>
    </row>
    <row r="24" spans="1:27" x14ac:dyDescent="0.2">
      <c r="A24" s="39" t="s">
        <v>30</v>
      </c>
      <c r="B24" s="24"/>
      <c r="C24" s="19"/>
      <c r="I24" s="27">
        <f>I22+I23</f>
        <v>9.2365241283365354</v>
      </c>
      <c r="J24" s="27">
        <f>J22+J23</f>
        <v>9.4445163253780322</v>
      </c>
      <c r="M24" s="27" t="e">
        <f>M22+M23</f>
        <v>#DIV/0!</v>
      </c>
      <c r="R24" s="27">
        <f>R22+R23</f>
        <v>9.404358295529395</v>
      </c>
      <c r="Z24" s="12">
        <v>32</v>
      </c>
      <c r="AA24" s="12">
        <f t="shared" ref="AA24:AA26" si="23">1/Z24</f>
        <v>3.125E-2</v>
      </c>
    </row>
    <row r="25" spans="1:27" x14ac:dyDescent="0.2">
      <c r="A25" s="39" t="s">
        <v>29</v>
      </c>
      <c r="B25" s="24"/>
      <c r="C25" s="19"/>
      <c r="I25" s="27">
        <f>I22-I23</f>
        <v>7.0928524866505445</v>
      </c>
      <c r="J25" s="27">
        <f>J22-J23</f>
        <v>9.0665473392182427</v>
      </c>
      <c r="M25" s="27" t="e">
        <f>M22-M23</f>
        <v>#DIV/0!</v>
      </c>
      <c r="R25" s="27">
        <f>R22-R23</f>
        <v>6.595641704470605</v>
      </c>
      <c r="Z25" s="12">
        <v>16</v>
      </c>
      <c r="AA25" s="12">
        <f t="shared" si="23"/>
        <v>6.25E-2</v>
      </c>
    </row>
    <row r="26" spans="1:27" x14ac:dyDescent="0.2">
      <c r="J26" s="44"/>
      <c r="Z26" s="19">
        <v>8</v>
      </c>
      <c r="AA26" s="12">
        <f t="shared" si="23"/>
        <v>0.125</v>
      </c>
    </row>
    <row r="27" spans="1:27" x14ac:dyDescent="0.2">
      <c r="A27" s="19" t="s">
        <v>41</v>
      </c>
      <c r="B27" s="53">
        <v>42425</v>
      </c>
      <c r="J27" s="44"/>
      <c r="S27" s="12">
        <f>(15/17)*5</f>
        <v>4.4117647058823533</v>
      </c>
    </row>
    <row r="28" spans="1:27" x14ac:dyDescent="0.2">
      <c r="A28" s="19" t="s">
        <v>42</v>
      </c>
      <c r="B28" s="53">
        <v>42438</v>
      </c>
      <c r="J28" s="44"/>
      <c r="S28" s="12">
        <f>1/6.4</f>
        <v>0.15625</v>
      </c>
    </row>
    <row r="29" spans="1:27" x14ac:dyDescent="0.2">
      <c r="A29" s="19" t="s">
        <v>44</v>
      </c>
      <c r="B29" s="54" t="s">
        <v>45</v>
      </c>
      <c r="J29" s="44"/>
    </row>
    <row r="30" spans="1:27" x14ac:dyDescent="0.2">
      <c r="A30" s="19" t="s">
        <v>43</v>
      </c>
      <c r="B30" s="53">
        <v>42485</v>
      </c>
      <c r="J30" s="44"/>
    </row>
    <row r="31" spans="1:27" x14ac:dyDescent="0.2">
      <c r="J31" s="44"/>
    </row>
    <row r="34" spans="1:33" s="2" customFormat="1" ht="20.100000000000001" customHeight="1" x14ac:dyDescent="0.2">
      <c r="A34" s="21" t="s">
        <v>85</v>
      </c>
      <c r="B34" s="16"/>
      <c r="C34" s="16"/>
      <c r="D34" s="16"/>
      <c r="E34" s="15"/>
      <c r="F34" s="16"/>
      <c r="G34" s="16"/>
      <c r="H34" s="15"/>
      <c r="I34" s="15"/>
      <c r="J34" s="15"/>
      <c r="K34" s="15"/>
      <c r="L34" s="15"/>
      <c r="M34" s="15"/>
      <c r="N34" s="15"/>
      <c r="O34" s="16"/>
      <c r="P34" s="16"/>
      <c r="Q34" s="15"/>
      <c r="R34" s="16"/>
      <c r="S34" s="16"/>
      <c r="T34" s="16"/>
      <c r="U34" s="16"/>
      <c r="V34" s="16">
        <f t="shared" ref="V34" si="24">SUM(B34:U34)-MIN(R34:U34)</f>
        <v>0</v>
      </c>
      <c r="W34" s="36">
        <f>V34/$V$3</f>
        <v>0</v>
      </c>
      <c r="Y34" s="29" t="str">
        <f>IF(W34&gt;0.894,"A",IF(W34&gt;0.864,"B+",IF(W34&gt;0.794,"B",IF(W34&gt;0.764,"C+",IF(W34&gt;0.694,"C",IF(W34&gt;0.594,"D","F"))))))</f>
        <v>F</v>
      </c>
      <c r="Z34" s="29"/>
      <c r="AA34" s="3">
        <v>15</v>
      </c>
      <c r="AB34" s="5"/>
      <c r="AE34" s="30"/>
      <c r="AG34" s="26"/>
    </row>
    <row r="38" spans="1:33" x14ac:dyDescent="0.2">
      <c r="A38" s="19" t="s">
        <v>150</v>
      </c>
    </row>
    <row r="39" spans="1:33" s="2" customFormat="1" ht="20.100000000000001" customHeight="1" x14ac:dyDescent="0.2">
      <c r="A39" s="20" t="s">
        <v>107</v>
      </c>
      <c r="B39" s="16">
        <f>10*(AA$3-AA39+AA$2)/50</f>
        <v>8.6</v>
      </c>
      <c r="C39" s="16">
        <v>10</v>
      </c>
      <c r="D39" s="16"/>
      <c r="E39" s="15"/>
      <c r="F39" s="16"/>
      <c r="G39" s="16"/>
      <c r="H39" s="16"/>
      <c r="I39" s="15"/>
      <c r="J39" s="15"/>
      <c r="K39" s="15"/>
      <c r="L39" s="15"/>
      <c r="M39" s="15"/>
      <c r="N39" s="15"/>
      <c r="O39" s="16"/>
      <c r="P39" s="16"/>
      <c r="Q39" s="65">
        <v>1</v>
      </c>
      <c r="R39" s="16"/>
      <c r="S39" s="16"/>
      <c r="T39" s="16"/>
      <c r="U39" s="16"/>
      <c r="V39" s="16">
        <f>SUM(B39:U39)-MIN(R39:U39)</f>
        <v>19.600000000000001</v>
      </c>
      <c r="W39" s="37">
        <f>V39/$V$3</f>
        <v>0.15076923076923077</v>
      </c>
      <c r="Y39" s="29" t="str">
        <f>IF(W39&gt;0.894,"A",IF(W39&gt;0.864,"B+",IF(W39&gt;0.794,"B",IF(W39&gt;0.764,"C+",IF(W39&gt;0.694,"C",IF(W39&gt;0.594,"D","F"))))))</f>
        <v>F</v>
      </c>
      <c r="Z39" s="29" t="s">
        <v>50</v>
      </c>
      <c r="AA39" s="3">
        <v>10.75</v>
      </c>
      <c r="AB39" s="5"/>
      <c r="AE39" s="30"/>
    </row>
  </sheetData>
  <autoFilter ref="A4:AJ18"/>
  <phoneticPr fontId="3" type="noConversion"/>
  <printOptions horizontalCentered="1"/>
  <pageMargins left="0.25" right="0.25" top="1" bottom="1" header="0.5" footer="0.5"/>
  <pageSetup scale="74" orientation="landscape" r:id="rId1"/>
  <headerFooter alignWithMargins="0"/>
  <colBreaks count="1" manualBreakCount="1">
    <brk id="12" max="1048575" man="1"/>
  </col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3"/>
  <sheetViews>
    <sheetView workbookViewId="0">
      <selection activeCell="A3" sqref="A3"/>
    </sheetView>
  </sheetViews>
  <sheetFormatPr defaultColWidth="9.140625" defaultRowHeight="15" x14ac:dyDescent="0.25"/>
  <cols>
    <col min="1" max="16384" width="9.140625" style="41"/>
  </cols>
  <sheetData>
    <row r="1" spans="1:20" x14ac:dyDescent="0.25">
      <c r="A1" s="41">
        <v>12</v>
      </c>
      <c r="D1" s="41">
        <v>15</v>
      </c>
      <c r="G1" s="41">
        <v>31</v>
      </c>
      <c r="J1" s="41">
        <v>25</v>
      </c>
      <c r="M1" s="41">
        <v>50</v>
      </c>
      <c r="P1" s="41">
        <v>37</v>
      </c>
      <c r="S1" s="41">
        <v>44</v>
      </c>
    </row>
    <row r="3" spans="1:20" x14ac:dyDescent="0.25">
      <c r="A3" s="42">
        <v>1</v>
      </c>
      <c r="B3" s="43">
        <f>((A$1-A3)/A$1)*10</f>
        <v>9.1666666666666661</v>
      </c>
      <c r="D3" s="42">
        <v>1</v>
      </c>
      <c r="E3" s="43">
        <f>((D$1-D3)/D$1)*10</f>
        <v>9.3333333333333339</v>
      </c>
      <c r="G3" s="42">
        <v>1</v>
      </c>
      <c r="H3" s="43">
        <f t="shared" ref="H3:H24" si="0">((G$1-G3)/G$1)*10</f>
        <v>9.67741935483871</v>
      </c>
      <c r="J3" s="42">
        <v>1</v>
      </c>
      <c r="K3" s="43">
        <f t="shared" ref="K3:K24" si="1">((J$1-J3)/J$1)*10</f>
        <v>9.6</v>
      </c>
      <c r="M3" s="42">
        <v>1</v>
      </c>
      <c r="N3" s="43">
        <f t="shared" ref="N3:N17" si="2">((M$1-M3)/M$1)*10</f>
        <v>9.8000000000000007</v>
      </c>
      <c r="P3" s="42">
        <v>1</v>
      </c>
      <c r="Q3" s="43">
        <f t="shared" ref="Q3:Q22" si="3">((P$1-P3)/P$1)*10</f>
        <v>9.7297297297297298</v>
      </c>
      <c r="S3" s="42">
        <v>1</v>
      </c>
      <c r="T3" s="43">
        <f t="shared" ref="T3:T24" si="4">((S$1-S3)/S$1)*10</f>
        <v>9.7727272727272734</v>
      </c>
    </row>
    <row r="4" spans="1:20" x14ac:dyDescent="0.25">
      <c r="A4" s="42">
        <v>2</v>
      </c>
      <c r="B4" s="43">
        <f t="shared" ref="B4:B16" si="5">((A$1-A4)/A$1)*10</f>
        <v>8.3333333333333339</v>
      </c>
      <c r="D4" s="42">
        <v>2</v>
      </c>
      <c r="E4" s="43">
        <f t="shared" ref="E4:E17" si="6">((D$1-D4)/D$1)*10</f>
        <v>8.6666666666666679</v>
      </c>
      <c r="G4" s="42">
        <v>2</v>
      </c>
      <c r="H4" s="43">
        <f t="shared" si="0"/>
        <v>9.3548387096774182</v>
      </c>
      <c r="J4" s="42">
        <v>2</v>
      </c>
      <c r="K4" s="43">
        <f t="shared" si="1"/>
        <v>9.2000000000000011</v>
      </c>
      <c r="M4" s="42">
        <v>2</v>
      </c>
      <c r="N4" s="43">
        <f t="shared" si="2"/>
        <v>9.6</v>
      </c>
      <c r="P4" s="42">
        <v>2</v>
      </c>
      <c r="Q4" s="43">
        <f t="shared" si="3"/>
        <v>9.4594594594594597</v>
      </c>
      <c r="S4" s="42">
        <v>2</v>
      </c>
      <c r="T4" s="43">
        <f t="shared" si="4"/>
        <v>9.5454545454545467</v>
      </c>
    </row>
    <row r="5" spans="1:20" x14ac:dyDescent="0.25">
      <c r="A5" s="42">
        <v>3</v>
      </c>
      <c r="B5" s="43">
        <f t="shared" si="5"/>
        <v>7.5</v>
      </c>
      <c r="D5" s="42">
        <v>3</v>
      </c>
      <c r="E5" s="43">
        <f t="shared" si="6"/>
        <v>8</v>
      </c>
      <c r="G5" s="42">
        <v>3</v>
      </c>
      <c r="H5" s="43">
        <f t="shared" si="0"/>
        <v>9.0322580645161281</v>
      </c>
      <c r="J5" s="42">
        <v>3</v>
      </c>
      <c r="K5" s="43">
        <f t="shared" si="1"/>
        <v>8.8000000000000007</v>
      </c>
      <c r="M5" s="42">
        <v>3</v>
      </c>
      <c r="N5" s="43">
        <f t="shared" si="2"/>
        <v>9.3999999999999986</v>
      </c>
      <c r="P5" s="42">
        <v>3</v>
      </c>
      <c r="Q5" s="43">
        <f t="shared" si="3"/>
        <v>9.1891891891891895</v>
      </c>
      <c r="S5" s="42">
        <v>3</v>
      </c>
      <c r="T5" s="43">
        <f t="shared" si="4"/>
        <v>9.3181818181818183</v>
      </c>
    </row>
    <row r="6" spans="1:20" x14ac:dyDescent="0.25">
      <c r="A6" s="42">
        <v>4</v>
      </c>
      <c r="B6" s="43">
        <f t="shared" si="5"/>
        <v>6.6666666666666661</v>
      </c>
      <c r="D6" s="42">
        <v>4</v>
      </c>
      <c r="E6" s="43">
        <f t="shared" si="6"/>
        <v>7.333333333333333</v>
      </c>
      <c r="G6" s="42">
        <v>4</v>
      </c>
      <c r="H6" s="43">
        <f t="shared" si="0"/>
        <v>8.7096774193548381</v>
      </c>
      <c r="J6" s="42">
        <v>4</v>
      </c>
      <c r="K6" s="43">
        <f t="shared" si="1"/>
        <v>8.4</v>
      </c>
      <c r="M6" s="42">
        <v>4</v>
      </c>
      <c r="N6" s="43">
        <f t="shared" si="2"/>
        <v>9.2000000000000011</v>
      </c>
      <c r="P6" s="42">
        <v>4</v>
      </c>
      <c r="Q6" s="43">
        <f t="shared" si="3"/>
        <v>8.9189189189189193</v>
      </c>
      <c r="S6" s="42">
        <v>4</v>
      </c>
      <c r="T6" s="43">
        <f t="shared" si="4"/>
        <v>9.0909090909090899</v>
      </c>
    </row>
    <row r="7" spans="1:20" x14ac:dyDescent="0.25">
      <c r="A7" s="42">
        <v>5</v>
      </c>
      <c r="B7" s="43">
        <f t="shared" si="5"/>
        <v>5.8333333333333339</v>
      </c>
      <c r="D7" s="42">
        <v>5</v>
      </c>
      <c r="E7" s="43">
        <f t="shared" si="6"/>
        <v>6.6666666666666661</v>
      </c>
      <c r="G7" s="42">
        <v>5</v>
      </c>
      <c r="H7" s="43">
        <f t="shared" si="0"/>
        <v>8.387096774193548</v>
      </c>
      <c r="J7" s="42">
        <v>5</v>
      </c>
      <c r="K7" s="43">
        <f t="shared" si="1"/>
        <v>8</v>
      </c>
      <c r="M7" s="42">
        <v>5</v>
      </c>
      <c r="N7" s="43">
        <f t="shared" si="2"/>
        <v>9</v>
      </c>
      <c r="P7" s="42">
        <v>5</v>
      </c>
      <c r="Q7" s="43">
        <f t="shared" si="3"/>
        <v>8.6486486486486491</v>
      </c>
      <c r="S7" s="42">
        <v>5.5</v>
      </c>
      <c r="T7" s="43">
        <f t="shared" si="4"/>
        <v>8.75</v>
      </c>
    </row>
    <row r="8" spans="1:20" x14ac:dyDescent="0.25">
      <c r="A8" s="42">
        <v>6</v>
      </c>
      <c r="B8" s="43">
        <f t="shared" si="5"/>
        <v>5</v>
      </c>
      <c r="D8" s="42">
        <v>6</v>
      </c>
      <c r="E8" s="43">
        <f t="shared" si="6"/>
        <v>6</v>
      </c>
      <c r="G8" s="42">
        <v>6</v>
      </c>
      <c r="H8" s="43">
        <f t="shared" si="0"/>
        <v>8.064516129032258</v>
      </c>
      <c r="J8" s="42">
        <v>6</v>
      </c>
      <c r="K8" s="43">
        <f t="shared" si="1"/>
        <v>7.6</v>
      </c>
      <c r="M8" s="42">
        <v>6</v>
      </c>
      <c r="N8" s="43">
        <f t="shared" si="2"/>
        <v>8.8000000000000007</v>
      </c>
      <c r="P8" s="42">
        <v>6</v>
      </c>
      <c r="Q8" s="43">
        <f t="shared" si="3"/>
        <v>8.378378378378379</v>
      </c>
      <c r="S8" s="42">
        <v>6</v>
      </c>
      <c r="T8" s="43">
        <f t="shared" si="4"/>
        <v>8.6363636363636367</v>
      </c>
    </row>
    <row r="9" spans="1:20" x14ac:dyDescent="0.25">
      <c r="A9" s="42">
        <v>7</v>
      </c>
      <c r="B9" s="43">
        <f t="shared" si="5"/>
        <v>4.166666666666667</v>
      </c>
      <c r="D9" s="42">
        <v>7</v>
      </c>
      <c r="E9" s="43">
        <f t="shared" si="6"/>
        <v>5.333333333333333</v>
      </c>
      <c r="G9" s="42">
        <v>7</v>
      </c>
      <c r="H9" s="43">
        <f t="shared" si="0"/>
        <v>7.741935483870968</v>
      </c>
      <c r="J9" s="42">
        <v>7</v>
      </c>
      <c r="K9" s="43">
        <f t="shared" si="1"/>
        <v>7.1999999999999993</v>
      </c>
      <c r="M9" s="42">
        <v>7</v>
      </c>
      <c r="N9" s="43">
        <f t="shared" si="2"/>
        <v>8.6</v>
      </c>
      <c r="P9" s="42">
        <v>7</v>
      </c>
      <c r="Q9" s="43">
        <f t="shared" si="3"/>
        <v>8.1081081081081088</v>
      </c>
      <c r="S9" s="42">
        <v>7</v>
      </c>
      <c r="T9" s="43">
        <f t="shared" si="4"/>
        <v>8.4090909090909101</v>
      </c>
    </row>
    <row r="10" spans="1:20" x14ac:dyDescent="0.25">
      <c r="A10" s="42">
        <v>8</v>
      </c>
      <c r="B10" s="43">
        <f t="shared" si="5"/>
        <v>3.333333333333333</v>
      </c>
      <c r="D10" s="42">
        <v>8</v>
      </c>
      <c r="E10" s="43">
        <f t="shared" si="6"/>
        <v>4.666666666666667</v>
      </c>
      <c r="G10" s="42">
        <v>8</v>
      </c>
      <c r="H10" s="43">
        <f t="shared" si="0"/>
        <v>7.4193548387096779</v>
      </c>
      <c r="J10" s="42">
        <v>8</v>
      </c>
      <c r="K10" s="43">
        <f t="shared" si="1"/>
        <v>6.8000000000000007</v>
      </c>
      <c r="M10" s="42">
        <v>8</v>
      </c>
      <c r="N10" s="43">
        <f t="shared" si="2"/>
        <v>8.4</v>
      </c>
      <c r="P10" s="42">
        <v>8</v>
      </c>
      <c r="Q10" s="43">
        <f t="shared" si="3"/>
        <v>7.8378378378378377</v>
      </c>
      <c r="S10" s="42">
        <v>8</v>
      </c>
      <c r="T10" s="43">
        <f t="shared" si="4"/>
        <v>8.1818181818181817</v>
      </c>
    </row>
    <row r="11" spans="1:20" x14ac:dyDescent="0.25">
      <c r="A11" s="42">
        <v>9</v>
      </c>
      <c r="B11" s="43">
        <f t="shared" si="5"/>
        <v>2.5</v>
      </c>
      <c r="D11" s="42">
        <v>9</v>
      </c>
      <c r="E11" s="43">
        <f t="shared" si="6"/>
        <v>4</v>
      </c>
      <c r="G11" s="42">
        <v>9</v>
      </c>
      <c r="H11" s="43">
        <f t="shared" si="0"/>
        <v>7.0967741935483879</v>
      </c>
      <c r="J11" s="42">
        <v>9</v>
      </c>
      <c r="K11" s="43">
        <f t="shared" si="1"/>
        <v>6.4</v>
      </c>
      <c r="M11" s="42">
        <v>9</v>
      </c>
      <c r="N11" s="43">
        <f t="shared" si="2"/>
        <v>8.1999999999999993</v>
      </c>
      <c r="P11" s="42">
        <v>9</v>
      </c>
      <c r="Q11" s="43">
        <f t="shared" si="3"/>
        <v>7.5675675675675684</v>
      </c>
      <c r="S11" s="42">
        <v>9</v>
      </c>
      <c r="T11" s="43">
        <f t="shared" si="4"/>
        <v>7.9545454545454541</v>
      </c>
    </row>
    <row r="12" spans="1:20" x14ac:dyDescent="0.25">
      <c r="A12" s="42">
        <v>10</v>
      </c>
      <c r="B12" s="43">
        <f t="shared" si="5"/>
        <v>1.6666666666666665</v>
      </c>
      <c r="D12" s="42">
        <v>10</v>
      </c>
      <c r="E12" s="43">
        <f t="shared" si="6"/>
        <v>3.333333333333333</v>
      </c>
      <c r="G12" s="42">
        <v>10</v>
      </c>
      <c r="H12" s="43">
        <f t="shared" si="0"/>
        <v>6.7741935483870961</v>
      </c>
      <c r="J12" s="42">
        <v>10</v>
      </c>
      <c r="K12" s="43">
        <f t="shared" si="1"/>
        <v>6</v>
      </c>
      <c r="M12" s="42">
        <v>10</v>
      </c>
      <c r="N12" s="43">
        <f t="shared" si="2"/>
        <v>8</v>
      </c>
      <c r="P12" s="42">
        <v>10</v>
      </c>
      <c r="Q12" s="43">
        <f t="shared" si="3"/>
        <v>7.2972972972972974</v>
      </c>
      <c r="S12" s="42">
        <v>10</v>
      </c>
      <c r="T12" s="43">
        <f t="shared" si="4"/>
        <v>7.7272727272727266</v>
      </c>
    </row>
    <row r="13" spans="1:20" x14ac:dyDescent="0.25">
      <c r="A13" s="42">
        <v>11</v>
      </c>
      <c r="B13" s="43">
        <f t="shared" si="5"/>
        <v>0.83333333333333326</v>
      </c>
      <c r="D13" s="42">
        <v>11</v>
      </c>
      <c r="E13" s="43">
        <f t="shared" si="6"/>
        <v>2.6666666666666665</v>
      </c>
      <c r="G13" s="42">
        <v>11</v>
      </c>
      <c r="H13" s="43">
        <f t="shared" si="0"/>
        <v>6.4516129032258061</v>
      </c>
      <c r="J13" s="42">
        <v>11</v>
      </c>
      <c r="K13" s="43">
        <f t="shared" si="1"/>
        <v>5.6000000000000005</v>
      </c>
      <c r="M13" s="42">
        <v>11</v>
      </c>
      <c r="N13" s="43">
        <f t="shared" si="2"/>
        <v>7.8000000000000007</v>
      </c>
      <c r="P13" s="42">
        <v>11</v>
      </c>
      <c r="Q13" s="43">
        <f t="shared" si="3"/>
        <v>7.0270270270270272</v>
      </c>
      <c r="S13" s="42">
        <v>11</v>
      </c>
      <c r="T13" s="43">
        <f t="shared" si="4"/>
        <v>7.5</v>
      </c>
    </row>
    <row r="14" spans="1:20" x14ac:dyDescent="0.25">
      <c r="A14" s="42">
        <v>12</v>
      </c>
      <c r="B14" s="43">
        <f t="shared" si="5"/>
        <v>0</v>
      </c>
      <c r="D14" s="42">
        <v>12</v>
      </c>
      <c r="E14" s="43">
        <f t="shared" si="6"/>
        <v>2</v>
      </c>
      <c r="G14" s="42">
        <v>12</v>
      </c>
      <c r="H14" s="43">
        <f t="shared" si="0"/>
        <v>6.129032258064516</v>
      </c>
      <c r="J14" s="42">
        <v>12</v>
      </c>
      <c r="K14" s="43">
        <f t="shared" si="1"/>
        <v>5.2</v>
      </c>
      <c r="M14" s="42">
        <v>12</v>
      </c>
      <c r="N14" s="43">
        <f t="shared" si="2"/>
        <v>7.6</v>
      </c>
      <c r="P14" s="42">
        <v>12</v>
      </c>
      <c r="Q14" s="43">
        <f t="shared" si="3"/>
        <v>6.7567567567567561</v>
      </c>
      <c r="S14" s="42">
        <v>12</v>
      </c>
      <c r="T14" s="43">
        <f t="shared" si="4"/>
        <v>7.2727272727272734</v>
      </c>
    </row>
    <row r="15" spans="1:20" x14ac:dyDescent="0.25">
      <c r="A15" s="42">
        <v>0.5</v>
      </c>
      <c r="B15" s="43">
        <f t="shared" si="5"/>
        <v>9.5833333333333339</v>
      </c>
      <c r="D15" s="42">
        <v>13</v>
      </c>
      <c r="E15" s="43">
        <f t="shared" si="6"/>
        <v>1.3333333333333333</v>
      </c>
      <c r="G15" s="42">
        <v>13</v>
      </c>
      <c r="H15" s="43">
        <f t="shared" si="0"/>
        <v>5.806451612903226</v>
      </c>
      <c r="J15" s="42">
        <v>13</v>
      </c>
      <c r="K15" s="43">
        <f t="shared" si="1"/>
        <v>4.8</v>
      </c>
      <c r="M15" s="42">
        <v>13</v>
      </c>
      <c r="N15" s="43">
        <f t="shared" si="2"/>
        <v>7.4</v>
      </c>
      <c r="P15" s="42">
        <v>13</v>
      </c>
      <c r="Q15" s="43">
        <f t="shared" si="3"/>
        <v>6.4864864864864868</v>
      </c>
      <c r="S15" s="42">
        <v>13</v>
      </c>
      <c r="T15" s="43">
        <f t="shared" si="4"/>
        <v>7.0454545454545459</v>
      </c>
    </row>
    <row r="16" spans="1:20" x14ac:dyDescent="0.25">
      <c r="A16" s="42">
        <v>0.67</v>
      </c>
      <c r="B16" s="43">
        <f t="shared" si="5"/>
        <v>9.4416666666666664</v>
      </c>
      <c r="D16" s="42">
        <v>14</v>
      </c>
      <c r="E16" s="43">
        <f t="shared" si="6"/>
        <v>0.66666666666666663</v>
      </c>
      <c r="G16" s="42">
        <v>14</v>
      </c>
      <c r="H16" s="43">
        <f t="shared" si="0"/>
        <v>5.4838709677419351</v>
      </c>
      <c r="J16" s="42">
        <v>14</v>
      </c>
      <c r="K16" s="43">
        <f t="shared" si="1"/>
        <v>4.4000000000000004</v>
      </c>
      <c r="M16" s="42">
        <v>14</v>
      </c>
      <c r="N16" s="43">
        <f t="shared" si="2"/>
        <v>7.1999999999999993</v>
      </c>
      <c r="P16" s="42">
        <v>14</v>
      </c>
      <c r="Q16" s="43">
        <f t="shared" si="3"/>
        <v>6.2162162162162158</v>
      </c>
      <c r="S16" s="42">
        <v>15</v>
      </c>
      <c r="T16" s="43">
        <f t="shared" si="4"/>
        <v>6.5909090909090908</v>
      </c>
    </row>
    <row r="17" spans="1:20" x14ac:dyDescent="0.25">
      <c r="D17" s="42">
        <v>15</v>
      </c>
      <c r="E17" s="43">
        <f t="shared" si="6"/>
        <v>0</v>
      </c>
      <c r="G17" s="42">
        <v>15</v>
      </c>
      <c r="H17" s="43">
        <f t="shared" si="0"/>
        <v>5.161290322580645</v>
      </c>
      <c r="J17" s="42">
        <v>15</v>
      </c>
      <c r="K17" s="43">
        <f t="shared" si="1"/>
        <v>4</v>
      </c>
      <c r="M17" s="42">
        <f>1+M16</f>
        <v>15</v>
      </c>
      <c r="N17" s="43">
        <f t="shared" si="2"/>
        <v>7</v>
      </c>
      <c r="P17" s="42">
        <v>15</v>
      </c>
      <c r="Q17" s="43">
        <f t="shared" si="3"/>
        <v>5.9459459459459465</v>
      </c>
      <c r="S17" s="42">
        <v>16.5</v>
      </c>
      <c r="T17" s="43">
        <f t="shared" si="4"/>
        <v>6.25</v>
      </c>
    </row>
    <row r="18" spans="1:20" x14ac:dyDescent="0.25">
      <c r="A18" s="41">
        <f>1/12</f>
        <v>8.3333333333333329E-2</v>
      </c>
      <c r="G18" s="42">
        <f>1+G17</f>
        <v>16</v>
      </c>
      <c r="H18" s="43">
        <f t="shared" si="0"/>
        <v>4.838709677419355</v>
      </c>
      <c r="J18" s="42">
        <f>1+J17</f>
        <v>16</v>
      </c>
      <c r="K18" s="43">
        <f t="shared" si="1"/>
        <v>3.5999999999999996</v>
      </c>
      <c r="M18" s="42">
        <f t="shared" ref="M18:M29" si="7">1+M17</f>
        <v>16</v>
      </c>
      <c r="N18" s="43">
        <f t="shared" ref="N18:N33" si="8">((M$1-M18)/M$1)*10</f>
        <v>6.8000000000000007</v>
      </c>
      <c r="P18" s="42">
        <f>1+P17</f>
        <v>16</v>
      </c>
      <c r="Q18" s="43">
        <f t="shared" si="3"/>
        <v>5.6756756756756754</v>
      </c>
      <c r="S18" s="42">
        <v>7.5</v>
      </c>
      <c r="T18" s="43">
        <f t="shared" si="4"/>
        <v>8.2954545454545467</v>
      </c>
    </row>
    <row r="19" spans="1:20" x14ac:dyDescent="0.25">
      <c r="G19" s="42">
        <f>1+G18</f>
        <v>17</v>
      </c>
      <c r="H19" s="43">
        <f t="shared" si="0"/>
        <v>4.5161290322580641</v>
      </c>
      <c r="J19" s="42">
        <f>1+J18</f>
        <v>17</v>
      </c>
      <c r="K19" s="43">
        <f t="shared" si="1"/>
        <v>3.2</v>
      </c>
      <c r="M19" s="42">
        <f t="shared" si="7"/>
        <v>17</v>
      </c>
      <c r="N19" s="43">
        <f t="shared" si="8"/>
        <v>6.6000000000000005</v>
      </c>
      <c r="P19" s="42">
        <v>6.5</v>
      </c>
      <c r="Q19" s="43">
        <f t="shared" si="3"/>
        <v>8.2432432432432439</v>
      </c>
      <c r="S19" s="42">
        <v>14.5</v>
      </c>
      <c r="T19" s="43">
        <f t="shared" si="4"/>
        <v>6.7045454545454541</v>
      </c>
    </row>
    <row r="20" spans="1:20" x14ac:dyDescent="0.25">
      <c r="G20" s="42">
        <f>1+G19</f>
        <v>18</v>
      </c>
      <c r="H20" s="43">
        <f t="shared" si="0"/>
        <v>4.193548387096774</v>
      </c>
      <c r="J20" s="42">
        <f>1+J19</f>
        <v>18</v>
      </c>
      <c r="K20" s="43">
        <f t="shared" si="1"/>
        <v>2.8000000000000003</v>
      </c>
      <c r="M20" s="42">
        <f t="shared" si="7"/>
        <v>18</v>
      </c>
      <c r="N20" s="43">
        <f t="shared" si="8"/>
        <v>6.4</v>
      </c>
      <c r="P20" s="42">
        <v>5.5</v>
      </c>
      <c r="Q20" s="43">
        <f t="shared" si="3"/>
        <v>8.5135135135135123</v>
      </c>
      <c r="S20" s="42">
        <v>8.5</v>
      </c>
      <c r="T20" s="43">
        <f t="shared" si="4"/>
        <v>8.0681818181818183</v>
      </c>
    </row>
    <row r="21" spans="1:20" x14ac:dyDescent="0.25">
      <c r="G21" s="42">
        <f>1+G20</f>
        <v>19</v>
      </c>
      <c r="H21" s="43">
        <f t="shared" si="0"/>
        <v>3.870967741935484</v>
      </c>
      <c r="J21" s="42">
        <f>1+J20</f>
        <v>19</v>
      </c>
      <c r="K21" s="43">
        <f t="shared" si="1"/>
        <v>2.4</v>
      </c>
      <c r="M21" s="42">
        <f t="shared" si="7"/>
        <v>19</v>
      </c>
      <c r="N21" s="43">
        <f t="shared" si="8"/>
        <v>6.2</v>
      </c>
      <c r="P21" s="42">
        <v>4.25</v>
      </c>
      <c r="Q21" s="43">
        <f t="shared" si="3"/>
        <v>8.8513513513513509</v>
      </c>
      <c r="S21" s="42">
        <v>9.5</v>
      </c>
      <c r="T21" s="43">
        <f t="shared" si="4"/>
        <v>7.8409090909090908</v>
      </c>
    </row>
    <row r="22" spans="1:20" x14ac:dyDescent="0.25">
      <c r="G22" s="42">
        <v>12.5</v>
      </c>
      <c r="H22" s="43">
        <f t="shared" si="0"/>
        <v>5.967741935483871</v>
      </c>
      <c r="J22" s="42">
        <f>1+J21</f>
        <v>20</v>
      </c>
      <c r="K22" s="43">
        <f t="shared" si="1"/>
        <v>2</v>
      </c>
      <c r="M22" s="42">
        <f t="shared" si="7"/>
        <v>20</v>
      </c>
      <c r="N22" s="43">
        <f t="shared" si="8"/>
        <v>6</v>
      </c>
      <c r="P22" s="42">
        <v>3.5</v>
      </c>
      <c r="Q22" s="43">
        <f t="shared" si="3"/>
        <v>9.0540540540540544</v>
      </c>
      <c r="S22" s="42">
        <v>10.5</v>
      </c>
      <c r="T22" s="43">
        <f t="shared" si="4"/>
        <v>7.6136363636363633</v>
      </c>
    </row>
    <row r="23" spans="1:20" x14ac:dyDescent="0.25">
      <c r="G23" s="42">
        <v>0.5</v>
      </c>
      <c r="H23" s="43">
        <f t="shared" si="0"/>
        <v>9.8387096774193559</v>
      </c>
      <c r="J23" s="42">
        <v>0.5</v>
      </c>
      <c r="K23" s="43">
        <f t="shared" si="1"/>
        <v>9.8000000000000007</v>
      </c>
      <c r="M23" s="42">
        <f t="shared" si="7"/>
        <v>21</v>
      </c>
      <c r="N23" s="43">
        <f t="shared" si="8"/>
        <v>5.8</v>
      </c>
      <c r="S23" s="42">
        <v>12.5</v>
      </c>
      <c r="T23" s="43">
        <f t="shared" si="4"/>
        <v>7.1590909090909092</v>
      </c>
    </row>
    <row r="24" spans="1:20" x14ac:dyDescent="0.25">
      <c r="G24" s="42">
        <v>8.5</v>
      </c>
      <c r="H24" s="43">
        <f t="shared" si="0"/>
        <v>7.258064516129032</v>
      </c>
      <c r="J24" s="42">
        <v>8.5</v>
      </c>
      <c r="K24" s="43">
        <f t="shared" si="1"/>
        <v>6.6000000000000005</v>
      </c>
      <c r="M24" s="42">
        <f t="shared" si="7"/>
        <v>22</v>
      </c>
      <c r="N24" s="43">
        <f t="shared" si="8"/>
        <v>5.6000000000000005</v>
      </c>
      <c r="S24" s="42">
        <v>6.75</v>
      </c>
      <c r="T24" s="43">
        <f t="shared" si="4"/>
        <v>8.4659090909090899</v>
      </c>
    </row>
    <row r="25" spans="1:20" x14ac:dyDescent="0.25">
      <c r="M25" s="42">
        <f t="shared" si="7"/>
        <v>23</v>
      </c>
      <c r="N25" s="43">
        <f t="shared" si="8"/>
        <v>5.4</v>
      </c>
    </row>
    <row r="26" spans="1:20" x14ac:dyDescent="0.25">
      <c r="M26" s="42">
        <f t="shared" si="7"/>
        <v>24</v>
      </c>
      <c r="N26" s="43">
        <f t="shared" si="8"/>
        <v>5.2</v>
      </c>
    </row>
    <row r="27" spans="1:20" x14ac:dyDescent="0.25">
      <c r="M27" s="42">
        <f t="shared" si="7"/>
        <v>25</v>
      </c>
      <c r="N27" s="43">
        <f t="shared" si="8"/>
        <v>5</v>
      </c>
    </row>
    <row r="28" spans="1:20" x14ac:dyDescent="0.25">
      <c r="M28" s="42">
        <f t="shared" si="7"/>
        <v>26</v>
      </c>
      <c r="N28" s="43">
        <f t="shared" si="8"/>
        <v>4.8</v>
      </c>
    </row>
    <row r="29" spans="1:20" x14ac:dyDescent="0.25">
      <c r="M29" s="42">
        <f t="shared" si="7"/>
        <v>27</v>
      </c>
      <c r="N29" s="43">
        <f t="shared" si="8"/>
        <v>4.6000000000000005</v>
      </c>
    </row>
    <row r="30" spans="1:20" x14ac:dyDescent="0.25">
      <c r="M30" s="42">
        <v>7.75</v>
      </c>
      <c r="N30" s="43">
        <f t="shared" si="8"/>
        <v>8.4499999999999993</v>
      </c>
    </row>
    <row r="31" spans="1:20" x14ac:dyDescent="0.25">
      <c r="M31" s="42">
        <v>13.25</v>
      </c>
      <c r="N31" s="43">
        <f t="shared" si="8"/>
        <v>7.35</v>
      </c>
    </row>
    <row r="32" spans="1:20" x14ac:dyDescent="0.25">
      <c r="M32" s="42">
        <v>5.5</v>
      </c>
      <c r="N32" s="43">
        <f t="shared" si="8"/>
        <v>8.9</v>
      </c>
    </row>
    <row r="33" spans="13:14" x14ac:dyDescent="0.25">
      <c r="M33" s="42">
        <v>6.5</v>
      </c>
      <c r="N33" s="43">
        <f t="shared" si="8"/>
        <v>8.6999999999999993</v>
      </c>
    </row>
  </sheetData>
  <pageMargins left="0.7" right="0.7" top="0.75" bottom="0.75" header="0.3" footer="0.3"/>
  <pageSetup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"/>
  <sheetViews>
    <sheetView workbookViewId="0">
      <selection activeCell="C18" sqref="C18"/>
    </sheetView>
  </sheetViews>
  <sheetFormatPr defaultRowHeight="12.75" x14ac:dyDescent="0.2"/>
  <cols>
    <col min="1" max="1" width="11" bestFit="1" customWidth="1"/>
  </cols>
  <sheetData>
    <row r="1" spans="1:2" x14ac:dyDescent="0.2">
      <c r="A1" s="14">
        <v>0</v>
      </c>
      <c r="B1" s="13">
        <f>((18-(A1))/18)*10</f>
        <v>10</v>
      </c>
    </row>
    <row r="2" spans="1:2" x14ac:dyDescent="0.2">
      <c r="A2" s="14">
        <v>1</v>
      </c>
      <c r="B2" s="13">
        <f t="shared" ref="B2:B18" si="0">((18-(A2))/18)*10</f>
        <v>9.4444444444444446</v>
      </c>
    </row>
    <row r="3" spans="1:2" x14ac:dyDescent="0.2">
      <c r="A3" s="14">
        <v>2</v>
      </c>
      <c r="B3" s="13">
        <f t="shared" si="0"/>
        <v>8.8888888888888893</v>
      </c>
    </row>
    <row r="4" spans="1:2" x14ac:dyDescent="0.2">
      <c r="A4" s="14">
        <v>3</v>
      </c>
      <c r="B4" s="13">
        <f t="shared" si="0"/>
        <v>8.3333333333333339</v>
      </c>
    </row>
    <row r="5" spans="1:2" x14ac:dyDescent="0.2">
      <c r="A5" s="14">
        <v>4</v>
      </c>
      <c r="B5" s="13">
        <f t="shared" si="0"/>
        <v>7.7777777777777777</v>
      </c>
    </row>
    <row r="6" spans="1:2" x14ac:dyDescent="0.2">
      <c r="A6" s="14">
        <v>5</v>
      </c>
      <c r="B6" s="13">
        <f t="shared" si="0"/>
        <v>7.2222222222222223</v>
      </c>
    </row>
    <row r="7" spans="1:2" x14ac:dyDescent="0.2">
      <c r="A7" s="14">
        <v>6</v>
      </c>
      <c r="B7" s="13">
        <f t="shared" si="0"/>
        <v>6.6666666666666661</v>
      </c>
    </row>
    <row r="8" spans="1:2" x14ac:dyDescent="0.2">
      <c r="A8" s="14">
        <v>7</v>
      </c>
      <c r="B8" s="13">
        <f t="shared" si="0"/>
        <v>6.1111111111111116</v>
      </c>
    </row>
    <row r="9" spans="1:2" x14ac:dyDescent="0.2">
      <c r="A9" s="14">
        <v>8</v>
      </c>
      <c r="B9" s="13">
        <f t="shared" si="0"/>
        <v>5.5555555555555554</v>
      </c>
    </row>
    <row r="10" spans="1:2" x14ac:dyDescent="0.2">
      <c r="A10" s="14">
        <v>9</v>
      </c>
      <c r="B10" s="13">
        <f t="shared" si="0"/>
        <v>5</v>
      </c>
    </row>
    <row r="11" spans="1:2" x14ac:dyDescent="0.2">
      <c r="A11" s="14">
        <v>11</v>
      </c>
      <c r="B11" s="13">
        <f t="shared" si="0"/>
        <v>3.8888888888888888</v>
      </c>
    </row>
    <row r="12" spans="1:2" x14ac:dyDescent="0.2">
      <c r="A12" s="14">
        <v>12</v>
      </c>
      <c r="B12" s="13">
        <f t="shared" si="0"/>
        <v>3.333333333333333</v>
      </c>
    </row>
    <row r="13" spans="1:2" x14ac:dyDescent="0.2">
      <c r="A13" s="14">
        <v>13</v>
      </c>
      <c r="B13" s="13">
        <f t="shared" si="0"/>
        <v>2.7777777777777777</v>
      </c>
    </row>
    <row r="14" spans="1:2" x14ac:dyDescent="0.2">
      <c r="A14" s="14">
        <v>14</v>
      </c>
      <c r="B14" s="13">
        <f t="shared" si="0"/>
        <v>2.2222222222222223</v>
      </c>
    </row>
    <row r="15" spans="1:2" x14ac:dyDescent="0.2">
      <c r="A15" s="14">
        <v>15</v>
      </c>
      <c r="B15" s="13">
        <f t="shared" si="0"/>
        <v>1.6666666666666665</v>
      </c>
    </row>
    <row r="16" spans="1:2" x14ac:dyDescent="0.2">
      <c r="A16" s="14">
        <v>16</v>
      </c>
      <c r="B16" s="13">
        <f t="shared" si="0"/>
        <v>1.1111111111111112</v>
      </c>
    </row>
    <row r="17" spans="1:2" x14ac:dyDescent="0.2">
      <c r="A17" s="14">
        <v>17</v>
      </c>
      <c r="B17" s="13">
        <f t="shared" si="0"/>
        <v>0.55555555555555558</v>
      </c>
    </row>
    <row r="18" spans="1:2" x14ac:dyDescent="0.2">
      <c r="A18" s="14">
        <v>18</v>
      </c>
      <c r="B18" s="13">
        <f t="shared" si="0"/>
        <v>0</v>
      </c>
    </row>
    <row r="22" spans="1:2" x14ac:dyDescent="0.2">
      <c r="A22">
        <f>6*713000000</f>
        <v>4278000000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21"/>
  <sheetViews>
    <sheetView workbookViewId="0">
      <selection activeCell="B20" sqref="B20"/>
    </sheetView>
  </sheetViews>
  <sheetFormatPr defaultRowHeight="12.75" x14ac:dyDescent="0.2"/>
  <sheetData>
    <row r="2" spans="1:4" x14ac:dyDescent="0.2">
      <c r="A2">
        <v>80</v>
      </c>
      <c r="B2">
        <v>20</v>
      </c>
      <c r="C2">
        <f>(B2/A2)*60</f>
        <v>15</v>
      </c>
    </row>
    <row r="3" spans="1:4" x14ac:dyDescent="0.2">
      <c r="A3">
        <v>60</v>
      </c>
      <c r="B3">
        <v>20</v>
      </c>
      <c r="C3">
        <f>(B3/A3)*60</f>
        <v>20</v>
      </c>
    </row>
    <row r="5" spans="1:4" x14ac:dyDescent="0.2">
      <c r="A5">
        <v>80</v>
      </c>
      <c r="B5">
        <v>60</v>
      </c>
      <c r="C5">
        <f>(B5/A5)*60</f>
        <v>45</v>
      </c>
    </row>
    <row r="6" spans="1:4" x14ac:dyDescent="0.2">
      <c r="A6">
        <v>60</v>
      </c>
      <c r="B6">
        <v>60</v>
      </c>
      <c r="C6">
        <f>(B6/A6)*60</f>
        <v>60</v>
      </c>
    </row>
    <row r="8" spans="1:4" x14ac:dyDescent="0.2">
      <c r="A8">
        <v>80</v>
      </c>
      <c r="B8">
        <v>240</v>
      </c>
      <c r="C8">
        <f>(B8/A8)*60</f>
        <v>180</v>
      </c>
      <c r="D8">
        <f>C8/60</f>
        <v>3</v>
      </c>
    </row>
    <row r="9" spans="1:4" x14ac:dyDescent="0.2">
      <c r="A9">
        <v>60</v>
      </c>
      <c r="B9">
        <v>240</v>
      </c>
      <c r="C9">
        <f>(B9/A9)*60</f>
        <v>240</v>
      </c>
      <c r="D9">
        <f>C9/60</f>
        <v>4</v>
      </c>
    </row>
    <row r="17" spans="2:3" x14ac:dyDescent="0.2">
      <c r="B17">
        <v>250</v>
      </c>
    </row>
    <row r="18" spans="2:3" x14ac:dyDescent="0.2">
      <c r="B18">
        <v>145</v>
      </c>
    </row>
    <row r="19" spans="2:3" x14ac:dyDescent="0.2">
      <c r="B19">
        <v>0.1</v>
      </c>
    </row>
    <row r="20" spans="2:3" x14ac:dyDescent="0.2">
      <c r="B20">
        <f>B17/B18</f>
        <v>1.7241379310344827</v>
      </c>
      <c r="C20">
        <v>1.72</v>
      </c>
    </row>
    <row r="21" spans="2:3" x14ac:dyDescent="0.2">
      <c r="B21">
        <f>B20*B19</f>
        <v>0.17241379310344829</v>
      </c>
      <c r="C21">
        <v>0.17199999999999999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5"/>
  <sheetViews>
    <sheetView topLeftCell="A25" workbookViewId="0">
      <selection activeCell="C22" sqref="C1:F1048576"/>
    </sheetView>
  </sheetViews>
  <sheetFormatPr defaultColWidth="9.140625" defaultRowHeight="12.75" x14ac:dyDescent="0.2"/>
  <cols>
    <col min="1" max="1" width="9.140625" style="68"/>
    <col min="2" max="2" width="27.7109375" style="68" customWidth="1"/>
    <col min="3" max="6" width="0" style="68" hidden="1" customWidth="1"/>
    <col min="7" max="7" width="9.140625" style="68"/>
    <col min="8" max="8" width="37.140625" style="68" customWidth="1"/>
    <col min="9" max="16384" width="9.140625" style="68"/>
  </cols>
  <sheetData>
    <row r="1" spans="1:8" ht="12.75" customHeight="1" x14ac:dyDescent="0.2">
      <c r="A1" s="67" t="s">
        <v>31</v>
      </c>
      <c r="B1" s="85" t="s">
        <v>33</v>
      </c>
      <c r="C1" s="85" t="s">
        <v>34</v>
      </c>
      <c r="D1" s="85" t="s">
        <v>35</v>
      </c>
      <c r="E1" s="85" t="s">
        <v>36</v>
      </c>
      <c r="F1" s="85" t="s">
        <v>37</v>
      </c>
      <c r="G1" s="84"/>
    </row>
    <row r="2" spans="1:8" x14ac:dyDescent="0.2">
      <c r="A2" s="67" t="s">
        <v>32</v>
      </c>
      <c r="B2" s="85"/>
      <c r="C2" s="85"/>
      <c r="D2" s="85"/>
      <c r="E2" s="85"/>
      <c r="F2" s="85"/>
      <c r="G2" s="84"/>
    </row>
    <row r="3" spans="1:8" x14ac:dyDescent="0.2">
      <c r="A3" s="69">
        <v>1</v>
      </c>
      <c r="B3" t="s">
        <v>55</v>
      </c>
      <c r="C3" s="69" t="s">
        <v>56</v>
      </c>
      <c r="D3" s="69" t="s">
        <v>40</v>
      </c>
      <c r="E3" s="69" t="s">
        <v>39</v>
      </c>
      <c r="F3" s="69">
        <v>1</v>
      </c>
      <c r="G3" s="69" t="s">
        <v>128</v>
      </c>
      <c r="H3" s="72" t="s">
        <v>129</v>
      </c>
    </row>
    <row r="4" spans="1:8" x14ac:dyDescent="0.2">
      <c r="A4" s="69">
        <v>2</v>
      </c>
      <c r="B4" t="s">
        <v>57</v>
      </c>
      <c r="C4" s="69" t="s">
        <v>58</v>
      </c>
      <c r="D4" s="69" t="s">
        <v>38</v>
      </c>
      <c r="E4" s="69" t="s">
        <v>39</v>
      </c>
      <c r="F4" s="69">
        <v>1</v>
      </c>
      <c r="G4" s="69" t="s">
        <v>130</v>
      </c>
      <c r="H4" s="72" t="s">
        <v>143</v>
      </c>
    </row>
    <row r="5" spans="1:8" x14ac:dyDescent="0.2">
      <c r="A5" s="69">
        <v>3</v>
      </c>
      <c r="B5" t="s">
        <v>59</v>
      </c>
      <c r="C5" s="69" t="s">
        <v>60</v>
      </c>
      <c r="D5" s="69" t="s">
        <v>38</v>
      </c>
      <c r="E5" s="69" t="s">
        <v>39</v>
      </c>
      <c r="F5" s="69">
        <v>1</v>
      </c>
      <c r="G5" s="69" t="s">
        <v>133</v>
      </c>
      <c r="H5" s="72" t="s">
        <v>144</v>
      </c>
    </row>
    <row r="6" spans="1:8" x14ac:dyDescent="0.2">
      <c r="A6" s="69">
        <v>4</v>
      </c>
      <c r="B6" t="s">
        <v>61</v>
      </c>
      <c r="C6" s="69" t="s">
        <v>62</v>
      </c>
      <c r="D6" s="69" t="s">
        <v>38</v>
      </c>
      <c r="E6" s="69" t="s">
        <v>39</v>
      </c>
      <c r="F6" s="69">
        <v>1</v>
      </c>
      <c r="G6" s="69" t="s">
        <v>128</v>
      </c>
      <c r="H6" s="72" t="s">
        <v>131</v>
      </c>
    </row>
    <row r="7" spans="1:8" x14ac:dyDescent="0.2">
      <c r="A7" s="69">
        <v>5</v>
      </c>
      <c r="B7" t="s">
        <v>63</v>
      </c>
      <c r="C7" s="69" t="s">
        <v>64</v>
      </c>
      <c r="D7" s="69" t="s">
        <v>40</v>
      </c>
      <c r="E7" s="69" t="s">
        <v>39</v>
      </c>
      <c r="F7" s="69">
        <v>1</v>
      </c>
      <c r="G7" s="69" t="s">
        <v>130</v>
      </c>
      <c r="H7" s="72" t="s">
        <v>138</v>
      </c>
    </row>
    <row r="8" spans="1:8" x14ac:dyDescent="0.2">
      <c r="A8" s="69">
        <v>6</v>
      </c>
      <c r="B8" t="s">
        <v>65</v>
      </c>
      <c r="C8" s="69" t="s">
        <v>66</v>
      </c>
      <c r="D8" s="69" t="s">
        <v>38</v>
      </c>
      <c r="E8" s="69" t="s">
        <v>39</v>
      </c>
      <c r="F8" s="69">
        <v>1</v>
      </c>
      <c r="G8" s="69" t="s">
        <v>130</v>
      </c>
      <c r="H8" s="72" t="s">
        <v>131</v>
      </c>
    </row>
    <row r="9" spans="1:8" x14ac:dyDescent="0.2">
      <c r="A9" s="69">
        <v>7</v>
      </c>
      <c r="B9" t="s">
        <v>67</v>
      </c>
      <c r="C9" s="69" t="s">
        <v>68</v>
      </c>
      <c r="D9" s="69" t="s">
        <v>38</v>
      </c>
      <c r="E9" s="69" t="s">
        <v>39</v>
      </c>
      <c r="F9" s="69">
        <v>1</v>
      </c>
      <c r="G9" s="69" t="s">
        <v>128</v>
      </c>
      <c r="H9" s="72" t="s">
        <v>140</v>
      </c>
    </row>
    <row r="10" spans="1:8" x14ac:dyDescent="0.2">
      <c r="A10" s="69">
        <v>8</v>
      </c>
      <c r="B10" t="s">
        <v>69</v>
      </c>
      <c r="C10" s="69" t="s">
        <v>70</v>
      </c>
      <c r="D10" s="69" t="s">
        <v>38</v>
      </c>
      <c r="E10" s="69" t="s">
        <v>39</v>
      </c>
      <c r="F10" s="69">
        <v>1</v>
      </c>
      <c r="G10" s="69" t="s">
        <v>130</v>
      </c>
      <c r="H10" s="72" t="s">
        <v>145</v>
      </c>
    </row>
    <row r="11" spans="1:8" x14ac:dyDescent="0.2">
      <c r="A11" s="69">
        <v>9</v>
      </c>
      <c r="B11" t="s">
        <v>71</v>
      </c>
      <c r="C11" s="69" t="s">
        <v>72</v>
      </c>
      <c r="D11" s="69" t="s">
        <v>40</v>
      </c>
      <c r="E11" s="69" t="s">
        <v>39</v>
      </c>
      <c r="F11" s="69">
        <v>1</v>
      </c>
      <c r="G11" s="69" t="s">
        <v>133</v>
      </c>
      <c r="H11" s="72" t="s">
        <v>146</v>
      </c>
    </row>
    <row r="12" spans="1:8" x14ac:dyDescent="0.2">
      <c r="A12" s="69">
        <v>10</v>
      </c>
      <c r="B12" t="s">
        <v>73</v>
      </c>
      <c r="C12" s="69" t="s">
        <v>74</v>
      </c>
      <c r="D12" s="69" t="s">
        <v>40</v>
      </c>
      <c r="E12" s="69" t="s">
        <v>39</v>
      </c>
      <c r="F12" s="69">
        <v>1</v>
      </c>
      <c r="G12" s="69" t="s">
        <v>128</v>
      </c>
      <c r="H12" s="72" t="s">
        <v>147</v>
      </c>
    </row>
    <row r="13" spans="1:8" x14ac:dyDescent="0.2">
      <c r="A13" s="69">
        <v>11</v>
      </c>
      <c r="B13" t="s">
        <v>75</v>
      </c>
      <c r="C13" s="69" t="s">
        <v>76</v>
      </c>
      <c r="D13" s="69" t="s">
        <v>40</v>
      </c>
      <c r="E13" s="69" t="s">
        <v>39</v>
      </c>
      <c r="F13" s="69">
        <v>1</v>
      </c>
      <c r="G13" s="69" t="s">
        <v>130</v>
      </c>
      <c r="H13" s="72" t="s">
        <v>148</v>
      </c>
    </row>
    <row r="14" spans="1:8" x14ac:dyDescent="0.2">
      <c r="A14" s="69">
        <v>12</v>
      </c>
      <c r="B14" t="s">
        <v>77</v>
      </c>
      <c r="C14" s="69" t="s">
        <v>78</v>
      </c>
      <c r="D14" s="69" t="s">
        <v>38</v>
      </c>
      <c r="E14" s="69" t="s">
        <v>39</v>
      </c>
      <c r="F14" s="69">
        <v>1</v>
      </c>
      <c r="G14" s="69" t="s">
        <v>128</v>
      </c>
      <c r="H14" s="72" t="s">
        <v>143</v>
      </c>
    </row>
    <row r="15" spans="1:8" x14ac:dyDescent="0.2">
      <c r="A15" s="69">
        <v>13</v>
      </c>
      <c r="B15" t="s">
        <v>79</v>
      </c>
      <c r="C15" s="69" t="s">
        <v>80</v>
      </c>
      <c r="D15" s="69" t="s">
        <v>38</v>
      </c>
      <c r="E15" s="69" t="s">
        <v>39</v>
      </c>
      <c r="F15" s="69">
        <v>1</v>
      </c>
      <c r="G15" s="72" t="s">
        <v>128</v>
      </c>
      <c r="H15" s="72" t="s">
        <v>140</v>
      </c>
    </row>
    <row r="16" spans="1:8" x14ac:dyDescent="0.2">
      <c r="A16" s="69">
        <v>14</v>
      </c>
      <c r="B16" t="s">
        <v>81</v>
      </c>
      <c r="C16" s="69" t="s">
        <v>82</v>
      </c>
      <c r="D16" s="69" t="s">
        <v>40</v>
      </c>
      <c r="E16" s="69" t="s">
        <v>39</v>
      </c>
      <c r="F16" s="69">
        <v>1</v>
      </c>
      <c r="G16" s="69" t="s">
        <v>130</v>
      </c>
      <c r="H16" s="72" t="s">
        <v>149</v>
      </c>
    </row>
    <row r="17" spans="1:8" x14ac:dyDescent="0.2">
      <c r="A17" s="69">
        <v>15</v>
      </c>
      <c r="B17" t="s">
        <v>83</v>
      </c>
      <c r="C17" s="69" t="s">
        <v>84</v>
      </c>
      <c r="D17" s="69" t="s">
        <v>38</v>
      </c>
      <c r="E17" s="69" t="s">
        <v>39</v>
      </c>
      <c r="F17" s="69">
        <v>1</v>
      </c>
      <c r="G17" s="72" t="s">
        <v>128</v>
      </c>
      <c r="H17" s="72" t="s">
        <v>131</v>
      </c>
    </row>
    <row r="20" spans="1:8" ht="12.75" customHeight="1" x14ac:dyDescent="0.2">
      <c r="A20" s="67" t="s">
        <v>31</v>
      </c>
      <c r="B20" s="85" t="s">
        <v>33</v>
      </c>
      <c r="C20" s="85" t="s">
        <v>34</v>
      </c>
      <c r="D20" s="85" t="s">
        <v>35</v>
      </c>
      <c r="E20" s="85" t="s">
        <v>36</v>
      </c>
      <c r="F20" s="85" t="s">
        <v>37</v>
      </c>
      <c r="G20" s="84"/>
    </row>
    <row r="21" spans="1:8" x14ac:dyDescent="0.2">
      <c r="A21" s="67" t="s">
        <v>32</v>
      </c>
      <c r="B21" s="85"/>
      <c r="C21" s="85"/>
      <c r="D21" s="85"/>
      <c r="E21" s="85"/>
      <c r="F21" s="85"/>
      <c r="G21" s="84"/>
    </row>
    <row r="22" spans="1:8" x14ac:dyDescent="0.2">
      <c r="A22" s="69">
        <v>1</v>
      </c>
      <c r="B22" t="s">
        <v>85</v>
      </c>
      <c r="C22" s="69" t="s">
        <v>86</v>
      </c>
      <c r="D22" s="69" t="s">
        <v>38</v>
      </c>
      <c r="E22" s="69" t="s">
        <v>39</v>
      </c>
      <c r="F22" s="69">
        <v>1</v>
      </c>
      <c r="G22" s="69"/>
    </row>
    <row r="23" spans="1:8" x14ac:dyDescent="0.2">
      <c r="A23" s="69">
        <v>2</v>
      </c>
      <c r="B23" t="s">
        <v>87</v>
      </c>
      <c r="C23" s="69" t="s">
        <v>88</v>
      </c>
      <c r="D23" s="69" t="s">
        <v>38</v>
      </c>
      <c r="E23" s="69" t="s">
        <v>39</v>
      </c>
      <c r="F23" s="69">
        <v>1</v>
      </c>
      <c r="G23" s="69" t="s">
        <v>130</v>
      </c>
      <c r="H23" s="72" t="s">
        <v>131</v>
      </c>
    </row>
    <row r="24" spans="1:8" x14ac:dyDescent="0.2">
      <c r="A24" s="69">
        <v>3</v>
      </c>
      <c r="B24" t="s">
        <v>89</v>
      </c>
      <c r="C24" s="69" t="s">
        <v>90</v>
      </c>
      <c r="D24" s="69" t="s">
        <v>38</v>
      </c>
      <c r="E24" s="69" t="s">
        <v>39</v>
      </c>
      <c r="F24" s="69">
        <v>1</v>
      </c>
      <c r="G24" s="69" t="s">
        <v>128</v>
      </c>
      <c r="H24" s="72" t="s">
        <v>132</v>
      </c>
    </row>
    <row r="25" spans="1:8" x14ac:dyDescent="0.2">
      <c r="A25" s="69">
        <v>4</v>
      </c>
      <c r="B25" t="s">
        <v>91</v>
      </c>
      <c r="C25" s="69" t="s">
        <v>92</v>
      </c>
      <c r="D25" s="69" t="s">
        <v>38</v>
      </c>
      <c r="E25" s="69" t="s">
        <v>39</v>
      </c>
      <c r="F25" s="69">
        <v>1</v>
      </c>
      <c r="G25" s="72" t="s">
        <v>130</v>
      </c>
      <c r="H25" s="72" t="s">
        <v>131</v>
      </c>
    </row>
    <row r="26" spans="1:8" x14ac:dyDescent="0.2">
      <c r="A26" s="69">
        <v>5</v>
      </c>
      <c r="B26" t="s">
        <v>93</v>
      </c>
      <c r="C26" s="69" t="s">
        <v>94</v>
      </c>
      <c r="D26" s="69" t="s">
        <v>38</v>
      </c>
      <c r="E26" s="69" t="s">
        <v>39</v>
      </c>
      <c r="F26" s="69">
        <v>1</v>
      </c>
      <c r="G26" s="69" t="s">
        <v>133</v>
      </c>
      <c r="H26" s="72" t="s">
        <v>134</v>
      </c>
    </row>
    <row r="27" spans="1:8" x14ac:dyDescent="0.2">
      <c r="A27" s="69">
        <v>6</v>
      </c>
      <c r="B27" t="s">
        <v>95</v>
      </c>
      <c r="C27" s="69" t="s">
        <v>96</v>
      </c>
      <c r="D27" s="69" t="s">
        <v>40</v>
      </c>
      <c r="E27" s="69" t="s">
        <v>39</v>
      </c>
      <c r="F27" s="69">
        <v>1</v>
      </c>
      <c r="G27" s="69" t="s">
        <v>130</v>
      </c>
      <c r="H27" s="72" t="s">
        <v>135</v>
      </c>
    </row>
    <row r="28" spans="1:8" x14ac:dyDescent="0.2">
      <c r="A28" s="69">
        <v>7</v>
      </c>
      <c r="B28" t="s">
        <v>97</v>
      </c>
      <c r="C28" s="69" t="s">
        <v>98</v>
      </c>
      <c r="D28" s="69" t="s">
        <v>40</v>
      </c>
      <c r="E28" s="69" t="s">
        <v>39</v>
      </c>
      <c r="F28" s="69">
        <v>1</v>
      </c>
      <c r="G28" s="69" t="s">
        <v>133</v>
      </c>
      <c r="H28" s="72" t="s">
        <v>136</v>
      </c>
    </row>
    <row r="29" spans="1:8" x14ac:dyDescent="0.2">
      <c r="A29" s="69">
        <v>8</v>
      </c>
      <c r="B29" t="s">
        <v>99</v>
      </c>
      <c r="C29" s="69" t="s">
        <v>100</v>
      </c>
      <c r="D29" s="69" t="s">
        <v>40</v>
      </c>
      <c r="E29" s="69" t="s">
        <v>39</v>
      </c>
      <c r="F29" s="69">
        <v>1</v>
      </c>
      <c r="G29" s="69" t="s">
        <v>130</v>
      </c>
      <c r="H29" s="72" t="s">
        <v>137</v>
      </c>
    </row>
    <row r="30" spans="1:8" x14ac:dyDescent="0.2">
      <c r="A30" s="69">
        <v>9</v>
      </c>
      <c r="B30" t="s">
        <v>101</v>
      </c>
      <c r="C30" s="69" t="s">
        <v>102</v>
      </c>
      <c r="D30" s="69" t="s">
        <v>38</v>
      </c>
      <c r="E30" s="69" t="s">
        <v>39</v>
      </c>
      <c r="F30" s="69">
        <v>1</v>
      </c>
      <c r="G30" s="69" t="s">
        <v>133</v>
      </c>
      <c r="H30" s="72" t="s">
        <v>138</v>
      </c>
    </row>
    <row r="31" spans="1:8" x14ac:dyDescent="0.2">
      <c r="A31" s="69">
        <v>10</v>
      </c>
      <c r="B31" t="s">
        <v>103</v>
      </c>
      <c r="C31" s="69" t="s">
        <v>104</v>
      </c>
      <c r="D31" s="69" t="s">
        <v>38</v>
      </c>
      <c r="E31" s="69" t="s">
        <v>39</v>
      </c>
      <c r="F31" s="69">
        <v>1</v>
      </c>
      <c r="G31" s="69" t="s">
        <v>128</v>
      </c>
      <c r="H31" s="72" t="s">
        <v>139</v>
      </c>
    </row>
    <row r="32" spans="1:8" x14ac:dyDescent="0.2">
      <c r="A32" s="69">
        <v>11</v>
      </c>
      <c r="B32" t="s">
        <v>105</v>
      </c>
      <c r="C32" s="69" t="s">
        <v>106</v>
      </c>
      <c r="D32" s="69" t="s">
        <v>38</v>
      </c>
      <c r="E32" s="69" t="s">
        <v>39</v>
      </c>
      <c r="F32" s="69">
        <v>1</v>
      </c>
      <c r="G32" s="69" t="s">
        <v>130</v>
      </c>
      <c r="H32" s="72" t="s">
        <v>140</v>
      </c>
    </row>
    <row r="33" spans="1:8" x14ac:dyDescent="0.2">
      <c r="A33" s="69">
        <v>12</v>
      </c>
      <c r="B33" t="s">
        <v>107</v>
      </c>
      <c r="C33" s="69" t="s">
        <v>108</v>
      </c>
      <c r="D33" s="69" t="s">
        <v>40</v>
      </c>
      <c r="E33" s="69" t="s">
        <v>39</v>
      </c>
      <c r="F33" s="69">
        <v>1</v>
      </c>
      <c r="G33" s="72" t="s">
        <v>130</v>
      </c>
      <c r="H33" s="72" t="s">
        <v>135</v>
      </c>
    </row>
    <row r="34" spans="1:8" x14ac:dyDescent="0.2">
      <c r="A34" s="69">
        <v>13</v>
      </c>
      <c r="B34" t="s">
        <v>109</v>
      </c>
      <c r="C34" s="69" t="s">
        <v>110</v>
      </c>
      <c r="D34" s="69" t="s">
        <v>38</v>
      </c>
      <c r="E34" s="69" t="s">
        <v>39</v>
      </c>
      <c r="F34" s="69">
        <v>1</v>
      </c>
      <c r="G34" s="69" t="s">
        <v>128</v>
      </c>
      <c r="H34" s="72" t="s">
        <v>141</v>
      </c>
    </row>
    <row r="35" spans="1:8" x14ac:dyDescent="0.2">
      <c r="A35" s="69">
        <v>14</v>
      </c>
      <c r="B35" t="s">
        <v>111</v>
      </c>
      <c r="C35" s="69" t="s">
        <v>112</v>
      </c>
      <c r="D35" s="69" t="s">
        <v>38</v>
      </c>
      <c r="E35" s="69" t="s">
        <v>39</v>
      </c>
      <c r="F35" s="69">
        <v>1</v>
      </c>
      <c r="G35" s="72" t="s">
        <v>128</v>
      </c>
      <c r="H35" s="72" t="s">
        <v>142</v>
      </c>
    </row>
  </sheetData>
  <mergeCells count="12">
    <mergeCell ref="G1:G2"/>
    <mergeCell ref="B20:B21"/>
    <mergeCell ref="C20:C21"/>
    <mergeCell ref="D20:D21"/>
    <mergeCell ref="E20:E21"/>
    <mergeCell ref="F20:F21"/>
    <mergeCell ref="G20:G21"/>
    <mergeCell ref="B1:B2"/>
    <mergeCell ref="C1:C2"/>
    <mergeCell ref="D1:D2"/>
    <mergeCell ref="E1:E2"/>
    <mergeCell ref="F1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2</vt:i4>
      </vt:variant>
    </vt:vector>
  </HeadingPairs>
  <TitlesOfParts>
    <vt:vector size="8" baseType="lpstr">
      <vt:lpstr>2015S 113-Monday 230</vt:lpstr>
      <vt:lpstr>2015S 113-Wed</vt:lpstr>
      <vt:lpstr>Points</vt:lpstr>
      <vt:lpstr>Sheet1</vt:lpstr>
      <vt:lpstr>Sheet2</vt:lpstr>
      <vt:lpstr>Sheet3</vt:lpstr>
      <vt:lpstr>'2015S 113-Monday 230'!Print_Area</vt:lpstr>
      <vt:lpstr>'2015S 113-Wed'!Print_Area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Quarles, William A.</dc:creator>
  <cp:lastModifiedBy>Quarles, William A.</cp:lastModifiedBy>
  <cp:lastPrinted>2015-08-31T21:27:47Z</cp:lastPrinted>
  <dcterms:created xsi:type="dcterms:W3CDTF">2007-08-26T22:16:44Z</dcterms:created>
  <dcterms:modified xsi:type="dcterms:W3CDTF">2016-11-14T22:21:48Z</dcterms:modified>
</cp:coreProperties>
</file>